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Tushant\Desktop\"/>
    </mc:Choice>
  </mc:AlternateContent>
  <workbookProtection workbookAlgorithmName="SHA-512" workbookHashValue="GcABgwPyCvQ9tBnE4SO72w+eQn8RKmTfknROEPsflBk/UXsgwqvVDTn0w6oblB91FvYf0JlpNcBN3ti5V0et1w==" workbookSaltValue="w88Zi3BvBJPOQlPr+TSxBQ==" workbookSpinCount="100000" lockStructure="1"/>
  <bookViews>
    <workbookView xWindow="0" yWindow="0" windowWidth="20490" windowHeight="7620"/>
  </bookViews>
  <sheets>
    <sheet name="Instructions" sheetId="10" r:id="rId1"/>
    <sheet name="Calculator - Old Tax Regime" sheetId="8" r:id="rId2"/>
    <sheet name="Comparison" sheetId="9" r:id="rId3"/>
  </sheets>
  <definedNames>
    <definedName name="new">'Calculator - Old Tax Regime'!#REF!</definedName>
    <definedName name="newrebate">'Calculator - Old Tax Regime'!$I$72</definedName>
    <definedName name="newtax">'Calculator - Old Tax Regime'!$I$73</definedName>
    <definedName name="old">'Calculator - Old Tax Regime'!$I$65</definedName>
    <definedName name="_xlnm.Print_Area" localSheetId="1">'Calculator - Old Tax Regime'!$A$1:$D$68</definedName>
    <definedName name="_xlnm.Print_Area" localSheetId="2">Comparison!$A$1:$C$20</definedName>
    <definedName name="_xlnm.Print_Area" localSheetId="0">Instructions!$A$1:$C$8</definedName>
    <definedName name="rebate">'Calculator - Old Tax Regime'!$I$64</definedName>
    <definedName name="rebatenew">'Calculator - Old Tax Regime'!#REF!</definedName>
    <definedName name="taxninja">'Calculator - Old Tax Regime'!#REF!</definedName>
  </definedNames>
  <calcPr calcId="162913"/>
</workbook>
</file>

<file path=xl/calcChain.xml><?xml version="1.0" encoding="utf-8"?>
<calcChain xmlns="http://schemas.openxmlformats.org/spreadsheetml/2006/main">
  <c r="C32" i="8" l="1"/>
  <c r="C30" i="8"/>
  <c r="A8" i="8"/>
  <c r="C53" i="8" s="1"/>
  <c r="B6" i="9" l="1"/>
  <c r="C57" i="8"/>
  <c r="D27" i="8"/>
  <c r="B7" i="9" s="1"/>
  <c r="C7" i="9" l="1"/>
  <c r="C17" i="8"/>
  <c r="C58" i="8" l="1"/>
  <c r="B8" i="9" s="1"/>
  <c r="C14" i="8"/>
  <c r="B17" i="9" l="1"/>
  <c r="C17" i="9"/>
  <c r="C35" i="8"/>
  <c r="D35" i="8" s="1"/>
  <c r="C8" i="9"/>
  <c r="C55" i="8"/>
  <c r="C54" i="8"/>
  <c r="D10" i="8"/>
  <c r="B4" i="9" s="1"/>
  <c r="D58" i="8"/>
  <c r="C51" i="8"/>
  <c r="C52" i="8"/>
  <c r="C18" i="8"/>
  <c r="C50" i="8"/>
  <c r="C56" i="8"/>
  <c r="D47" i="8"/>
  <c r="C31" i="8"/>
  <c r="C29" i="8"/>
  <c r="C21" i="8"/>
  <c r="D21" i="8" s="1"/>
  <c r="C5" i="9" s="1"/>
  <c r="B5" i="9" s="1"/>
  <c r="C19" i="8"/>
  <c r="C16" i="8"/>
  <c r="C15" i="8"/>
  <c r="B10" i="9" l="1"/>
  <c r="I69" i="8" s="1"/>
  <c r="C49" i="8"/>
  <c r="C12" i="8"/>
  <c r="D11" i="8" s="1"/>
  <c r="D20" i="8" s="1"/>
  <c r="D28" i="8"/>
  <c r="C6" i="9" s="1"/>
  <c r="I71" i="8" l="1"/>
  <c r="I70" i="8"/>
  <c r="I72" i="8"/>
  <c r="B11" i="9" s="1"/>
  <c r="C4" i="9"/>
  <c r="D33" i="8"/>
  <c r="D48" i="8"/>
  <c r="C9" i="9" s="1"/>
  <c r="C10" i="9" l="1"/>
  <c r="D59" i="8"/>
  <c r="I73" i="8" l="1"/>
  <c r="B12" i="9" s="1"/>
  <c r="B13" i="9" s="1"/>
  <c r="I62" i="8"/>
  <c r="I63" i="8"/>
  <c r="I61" i="8"/>
  <c r="I64" i="8" s="1"/>
  <c r="I65" i="8" s="1"/>
  <c r="D61" i="8" l="1"/>
  <c r="C12" i="9" s="1"/>
  <c r="D60" i="8"/>
  <c r="C11" i="9" s="1"/>
  <c r="B14" i="9"/>
  <c r="B15" i="9" s="1"/>
  <c r="B16" i="9" s="1"/>
  <c r="B19" i="9" s="1"/>
  <c r="D62" i="8" l="1"/>
  <c r="C13" i="9" s="1"/>
  <c r="B18" i="9"/>
  <c r="D63" i="8" l="1"/>
  <c r="C14" i="9" s="1"/>
  <c r="D64" i="8" l="1"/>
  <c r="D65" i="8" s="1"/>
  <c r="D67" i="8" l="1"/>
  <c r="C18" i="9" s="1"/>
  <c r="D68" i="8"/>
  <c r="C19" i="9" s="1"/>
  <c r="C15" i="9"/>
  <c r="C16" i="9"/>
  <c r="A20" i="9" l="1"/>
</calcChain>
</file>

<file path=xl/comments1.xml><?xml version="1.0" encoding="utf-8"?>
<comments xmlns="http://schemas.openxmlformats.org/spreadsheetml/2006/main">
  <authors>
    <author>Tushant</author>
    <author>Kutus</author>
  </authors>
  <commentList>
    <comment ref="B13" authorId="0" shapeId="0">
      <text>
        <r>
          <rPr>
            <b/>
            <sz val="9"/>
            <color indexed="81"/>
            <rFont val="Tahoma"/>
            <charset val="1"/>
          </rPr>
          <t xml:space="preserve">Tax Ninja :
</t>
        </r>
        <r>
          <rPr>
            <sz val="9"/>
            <color indexed="81"/>
            <rFont val="Tahoma"/>
            <family val="2"/>
          </rPr>
          <t>Please select whether you are Resident in a Metro or Non-Metro City.</t>
        </r>
      </text>
    </comment>
    <comment ref="C14" authorId="1" shapeId="0">
      <text>
        <r>
          <rPr>
            <b/>
            <sz val="10"/>
            <color indexed="81"/>
            <rFont val="Lucida Sans"/>
            <family val="2"/>
          </rPr>
          <t xml:space="preserve">Tax Ninja :
Metro - 50% of Basic Salary
Non-Metro - 40%
</t>
        </r>
      </text>
    </comment>
    <comment ref="C15" authorId="1" shapeId="0">
      <text>
        <r>
          <rPr>
            <b/>
            <sz val="9"/>
            <color indexed="81"/>
            <rFont val="Lucida Sans"/>
            <family val="2"/>
          </rPr>
          <t>Tax Ninja:</t>
        </r>
        <r>
          <rPr>
            <sz val="9"/>
            <color indexed="81"/>
            <rFont val="Lucida Sans"/>
            <family val="2"/>
          </rPr>
          <t xml:space="preserve">
</t>
        </r>
        <r>
          <rPr>
            <b/>
            <sz val="9"/>
            <color indexed="81"/>
            <rFont val="Lucida Sans"/>
            <family val="2"/>
          </rPr>
          <t>Rent paid over 10% of Basic Salary i.e.
Rent paid-10%(Basic+DA)</t>
        </r>
      </text>
    </comment>
    <comment ref="B17" authorId="0" shapeId="0">
      <text>
        <r>
          <rPr>
            <b/>
            <sz val="9"/>
            <color indexed="81"/>
            <rFont val="Tahoma"/>
            <family val="2"/>
          </rPr>
          <t xml:space="preserve">Tax Ninja : 
</t>
        </r>
        <r>
          <rPr>
            <sz val="9"/>
            <color indexed="81"/>
            <rFont val="Tahoma"/>
            <family val="2"/>
          </rPr>
          <t xml:space="preserve">Please select if you want to Claim Standard Deduction or not.
</t>
        </r>
      </text>
    </comment>
    <comment ref="B32" authorId="0" shapeId="0">
      <text>
        <r>
          <rPr>
            <b/>
            <sz val="9"/>
            <color indexed="81"/>
            <rFont val="Tahoma"/>
            <family val="2"/>
          </rPr>
          <t>Tax Ninja:</t>
        </r>
        <r>
          <rPr>
            <sz val="9"/>
            <color indexed="81"/>
            <rFont val="Tahoma"/>
            <family val="2"/>
          </rPr>
          <t xml:space="preserve">
Please refer Relevant Section for Net Annual Value.
</t>
        </r>
      </text>
    </comment>
    <comment ref="C35" authorId="0" shapeId="0">
      <text>
        <r>
          <rPr>
            <b/>
            <sz val="9"/>
            <color indexed="81"/>
            <rFont val="Tahoma"/>
            <family val="2"/>
          </rPr>
          <t>Tax Ninja : Maximum Deduction allowed u/s 80C is Rs. 1,50,000</t>
        </r>
      </text>
    </comment>
    <comment ref="B47" authorId="0" shapeId="0">
      <text>
        <r>
          <rPr>
            <b/>
            <sz val="9"/>
            <color indexed="81"/>
            <rFont val="Tahoma"/>
            <family val="2"/>
          </rPr>
          <t>Tax Ninja : Maximum Rs. 50,000</t>
        </r>
        <r>
          <rPr>
            <sz val="9"/>
            <color indexed="81"/>
            <rFont val="Tahoma"/>
            <family val="2"/>
          </rPr>
          <t xml:space="preserve">
</t>
        </r>
      </text>
    </comment>
    <comment ref="B49" authorId="1" shapeId="0">
      <text>
        <r>
          <rPr>
            <b/>
            <sz val="9"/>
            <color indexed="81"/>
            <rFont val="Tahoma"/>
            <charset val="1"/>
          </rPr>
          <t xml:space="preserve">Tax Ninja: </t>
        </r>
        <r>
          <rPr>
            <sz val="9"/>
            <color indexed="81"/>
            <rFont val="Tahoma"/>
            <charset val="1"/>
          </rPr>
          <t xml:space="preserve">Self,Spouse and Children Deduction : Maximum Rs. 25,000/Rs.50,000 for below and above 60 years of age respectively (including Rs. 5,000 for preventive Health Checkup)
</t>
        </r>
      </text>
    </comment>
    <comment ref="B50" authorId="1" shapeId="0">
      <text>
        <r>
          <rPr>
            <b/>
            <sz val="9"/>
            <color indexed="81"/>
            <rFont val="Tahoma"/>
            <family val="2"/>
          </rPr>
          <t>Tax Ninja:</t>
        </r>
        <r>
          <rPr>
            <sz val="9"/>
            <color indexed="81"/>
            <rFont val="Tahoma"/>
            <charset val="1"/>
          </rPr>
          <t xml:space="preserve">
For Parents : Maximum Rs. 25,000
(including Rs.5,000 for Preventive Health Checkup)
For Senior Citizens Parents : Maximum Rs.50,000 (including Rs.5,000 for Preventive Health Checkup)</t>
        </r>
      </text>
    </comment>
    <comment ref="B51" authorId="0" shapeId="0">
      <text>
        <r>
          <rPr>
            <b/>
            <sz val="9"/>
            <color indexed="81"/>
            <rFont val="Tahoma"/>
            <family val="2"/>
          </rPr>
          <t>Tax Ninja:</t>
        </r>
        <r>
          <rPr>
            <sz val="9"/>
            <color indexed="81"/>
            <rFont val="Tahoma"/>
            <family val="2"/>
          </rPr>
          <t xml:space="preserve">
Please refer Relevant Section for Deduction Details</t>
        </r>
      </text>
    </comment>
    <comment ref="B52" authorId="1" shapeId="0">
      <text>
        <r>
          <rPr>
            <b/>
            <sz val="9"/>
            <color indexed="81"/>
            <rFont val="Tahoma"/>
            <family val="2"/>
          </rPr>
          <t>Tax Ninja:</t>
        </r>
        <r>
          <rPr>
            <sz val="9"/>
            <color indexed="81"/>
            <rFont val="Tahoma"/>
            <family val="2"/>
          </rPr>
          <t xml:space="preserve">
Rs 75,000 where disability is more than 40% and less than 80%.
Rs 1,25,000 where disability is more than 80%.</t>
        </r>
      </text>
    </comment>
    <comment ref="B53" authorId="1" shapeId="0">
      <text>
        <r>
          <rPr>
            <b/>
            <sz val="9"/>
            <color indexed="81"/>
            <rFont val="Tahoma"/>
            <family val="2"/>
          </rPr>
          <t>Tax Ninja:</t>
        </r>
        <r>
          <rPr>
            <sz val="9"/>
            <color indexed="81"/>
            <rFont val="Tahoma"/>
            <family val="2"/>
          </rPr>
          <t xml:space="preserve">
In Case of Senior citizen Rs. 1,00,000 and for Others Rs. 40,000
</t>
        </r>
      </text>
    </comment>
    <comment ref="B54" authorId="0" shapeId="0">
      <text>
        <r>
          <rPr>
            <b/>
            <sz val="9"/>
            <color indexed="81"/>
            <rFont val="Tahoma"/>
            <family val="2"/>
          </rPr>
          <t xml:space="preserve">Tax Ninja:
</t>
        </r>
        <r>
          <rPr>
            <sz val="9"/>
            <color indexed="81"/>
            <rFont val="Tahoma"/>
            <family val="2"/>
          </rPr>
          <t>Please refer Relevant Section for Deduction Details</t>
        </r>
      </text>
    </comment>
    <comment ref="B55" authorId="0" shapeId="0">
      <text>
        <r>
          <rPr>
            <b/>
            <sz val="9"/>
            <color indexed="81"/>
            <rFont val="Tahoma"/>
            <family val="2"/>
          </rPr>
          <t xml:space="preserve">Tax Ninja:
</t>
        </r>
        <r>
          <rPr>
            <sz val="9"/>
            <color indexed="81"/>
            <rFont val="Tahoma"/>
            <family val="2"/>
          </rPr>
          <t>Please refer Relevant Section for Deduction Details</t>
        </r>
      </text>
    </comment>
    <comment ref="B56" authorId="1" shapeId="0">
      <text>
        <r>
          <rPr>
            <b/>
            <sz val="9"/>
            <color indexed="81"/>
            <rFont val="Tahoma"/>
            <family val="2"/>
          </rPr>
          <t>Tax Ninja:</t>
        </r>
        <r>
          <rPr>
            <sz val="9"/>
            <color indexed="81"/>
            <rFont val="Tahoma"/>
            <family val="2"/>
          </rPr>
          <t xml:space="preserve">
Deduction of Rs. 75,000 is allowed for people with disabilities and Rs. 1,25,000 deduction for people with severe disability.</t>
        </r>
      </text>
    </comment>
    <comment ref="B57" authorId="0" shapeId="0">
      <text>
        <r>
          <rPr>
            <b/>
            <sz val="9"/>
            <color indexed="81"/>
            <rFont val="Tahoma"/>
            <family val="2"/>
          </rPr>
          <t xml:space="preserve">Tax Ninja : 
</t>
        </r>
        <r>
          <rPr>
            <sz val="9"/>
            <color indexed="81"/>
            <rFont val="Tahoma"/>
            <family val="2"/>
          </rPr>
          <t>Rs 50,000 for Senior Citizens &amp; Rs 10,000 for Others</t>
        </r>
      </text>
    </comment>
    <comment ref="C58" authorId="1" shapeId="0">
      <text>
        <r>
          <rPr>
            <b/>
            <sz val="9"/>
            <color indexed="81"/>
            <rFont val="Tahoma"/>
            <family val="2"/>
          </rPr>
          <t>Tax Ninja:
Max Exemption is 10% of Basic + DA.</t>
        </r>
      </text>
    </comment>
    <comment ref="D66" authorId="0" shapeId="0">
      <text>
        <r>
          <rPr>
            <b/>
            <sz val="9"/>
            <color indexed="81"/>
            <rFont val="Tahoma"/>
            <family val="2"/>
          </rPr>
          <t xml:space="preserve">Tax Ninja :
</t>
        </r>
        <r>
          <rPr>
            <sz val="9"/>
            <color indexed="81"/>
            <rFont val="Tahoma"/>
            <family val="2"/>
          </rPr>
          <t xml:space="preserve">Please input the Amount of Advance Tax /TDS Deposited/Deducted
</t>
        </r>
      </text>
    </comment>
  </commentList>
</comments>
</file>

<file path=xl/sharedStrings.xml><?xml version="1.0" encoding="utf-8"?>
<sst xmlns="http://schemas.openxmlformats.org/spreadsheetml/2006/main" count="118" uniqueCount="93">
  <si>
    <t>Name</t>
  </si>
  <si>
    <t>Date of Birth</t>
  </si>
  <si>
    <t>Age (Years)</t>
  </si>
  <si>
    <t>Gross Income from Salaries and Allowances</t>
  </si>
  <si>
    <t>Less: Exemptions U/S 10</t>
  </si>
  <si>
    <t xml:space="preserve">    b. Rent Paid</t>
  </si>
  <si>
    <t>(iv) Professional Tax</t>
  </si>
  <si>
    <t>(iii) Any Other Exempted Allowances</t>
  </si>
  <si>
    <t>2. Any Other Income</t>
  </si>
  <si>
    <t>Gross Total Income (G.T.I)</t>
  </si>
  <si>
    <t>b. Public Provident Fund (PPF)</t>
  </si>
  <si>
    <t>d. Tax Saving Fixed Deposit (5 Years and above)</t>
  </si>
  <si>
    <t>i. Principal Repayment on House Building Loan</t>
  </si>
  <si>
    <t>a. EPF &amp; GPF Contribution</t>
  </si>
  <si>
    <t>j. Sukanya Samriddhi Yojana</t>
  </si>
  <si>
    <t>Net Tax Payable</t>
  </si>
  <si>
    <t>Tax Liability</t>
  </si>
  <si>
    <t>Balance Tax to be Paid</t>
  </si>
  <si>
    <t>h. Pension Plan from Insurance Co./Mutual Funds (u/s 80CCC)</t>
  </si>
  <si>
    <t>Less: Deduction for Employer Contribution to NPS U/S 80CCD(2)</t>
  </si>
  <si>
    <t>Less: Employer Contribution to NPS U/S 80CCD(2)</t>
  </si>
  <si>
    <t>Net Taxable Income after all deductions</t>
  </si>
  <si>
    <t>Tax to Gross Income Ratio</t>
  </si>
  <si>
    <t>1. Interest income</t>
  </si>
  <si>
    <t xml:space="preserve">  Resident of (Please Select the Value from the Drop-Down)</t>
  </si>
  <si>
    <t xml:space="preserve">    c. H.R.A Received</t>
  </si>
  <si>
    <t xml:space="preserve">     c. Post Office MIS</t>
  </si>
  <si>
    <t>Less: Deduction U/S 80C</t>
  </si>
  <si>
    <t>Less: Additional deduction for NPS U/S 80CCD(1B)</t>
  </si>
  <si>
    <t xml:space="preserve">    a. Basic Salary (Basic + DA)</t>
  </si>
  <si>
    <t>Less : Other Deductions</t>
  </si>
  <si>
    <t>Particulars</t>
  </si>
  <si>
    <t>Tax Ninja</t>
  </si>
  <si>
    <t>AAAPT0001Z</t>
  </si>
  <si>
    <t>Income From Salaries (After Deduction u/s 10)</t>
  </si>
  <si>
    <t xml:space="preserve">c. National Savings Certificates (NSC) </t>
  </si>
  <si>
    <t>f. Life Insurance Premium paid</t>
  </si>
  <si>
    <t>e. ELSS of a Mutual Fund</t>
  </si>
  <si>
    <t xml:space="preserve"> (i) H.R.A Exemption (Least of the following three)</t>
  </si>
  <si>
    <t>Income from House Property</t>
  </si>
  <si>
    <t xml:space="preserve">     a. Bank </t>
  </si>
  <si>
    <t xml:space="preserve">     b. National Savings Certificates (NSC) </t>
  </si>
  <si>
    <t>a. 80D - Medical Insurance premium (for Self )</t>
  </si>
  <si>
    <t>b. 80D - Medical Insurance premium (for Parents)</t>
  </si>
  <si>
    <t>c. 80E - Interest Paid on Education Loan</t>
  </si>
  <si>
    <t xml:space="preserve">d. 80DD - Medical Treatment for dependent handicapped </t>
  </si>
  <si>
    <t>e. 80DDB - Expenditure on approved Medical Treatment</t>
  </si>
  <si>
    <t>f. 80G, 80GGA, 80GGC - Donation to approved funds</t>
  </si>
  <si>
    <t>h. 80U - For Physically Disabled person</t>
  </si>
  <si>
    <t>g. 80GG - Rent paid in case HRA is not Received from Employer</t>
  </si>
  <si>
    <t>g. Contributions made towards Pension Plans (u/s 80CCC)</t>
  </si>
  <si>
    <t>Income from Other Sources</t>
  </si>
  <si>
    <t>TDS Deducted /Advance Tax Deposited</t>
  </si>
  <si>
    <t>Old Tax Regime</t>
  </si>
  <si>
    <r>
      <rPr>
        <b/>
        <sz val="12"/>
        <color rgb="FF000000"/>
        <rFont val="Times New Roman"/>
        <family val="1"/>
      </rPr>
      <t>Add:</t>
    </r>
    <r>
      <rPr>
        <sz val="12"/>
        <color rgb="FF000000"/>
        <rFont val="Times New Roman"/>
        <family val="1"/>
      </rPr>
      <t xml:space="preserve"> Cess @ 4%</t>
    </r>
  </si>
  <si>
    <t>New Tax Regime</t>
  </si>
  <si>
    <r>
      <rPr>
        <b/>
        <sz val="14"/>
        <color rgb="FF000000"/>
        <rFont val="Times New Roman"/>
        <family val="1"/>
      </rPr>
      <t>Add:</t>
    </r>
    <r>
      <rPr>
        <sz val="14"/>
        <color rgb="FF000000"/>
        <rFont val="Times New Roman"/>
        <family val="1"/>
      </rPr>
      <t xml:space="preserve"> Cess @ 4%</t>
    </r>
  </si>
  <si>
    <t>(ii) Standard Deduction for Salaried &amp; Pensioners (Select from Dropdown)</t>
  </si>
  <si>
    <t>Tax Rebate upto Rs. 12,500 (For Income less than Rs. 5 Lakh) - u/s 87A</t>
  </si>
  <si>
    <t>Normal Tax Payer</t>
  </si>
  <si>
    <t>Senior Citizen</t>
  </si>
  <si>
    <t>Super Senior Citizen</t>
  </si>
  <si>
    <t>Check Applicability</t>
  </si>
  <si>
    <t>Rebate Applicability</t>
  </si>
  <si>
    <t>Tax Payable on Total Income</t>
  </si>
  <si>
    <t>Instructions</t>
  </si>
  <si>
    <t>PAN</t>
  </si>
  <si>
    <t>A.Y 2023-24  
(F.Y 2022-23)</t>
  </si>
  <si>
    <t>Version 3.1.0</t>
  </si>
  <si>
    <t>A.Y 2023-24 
(F.Y 2022-23)</t>
  </si>
  <si>
    <r>
      <rPr>
        <b/>
        <sz val="12"/>
        <color rgb="FF000000"/>
        <rFont val="Times New Roman"/>
        <family val="1"/>
      </rPr>
      <t>Surcharge</t>
    </r>
    <r>
      <rPr>
        <sz val="12"/>
        <color rgb="FF000000"/>
        <rFont val="Times New Roman"/>
        <family val="1"/>
      </rPr>
      <t xml:space="preserve"> @ 10% (If taxable income exceeds Rs. 50 Lakh) </t>
    </r>
    <r>
      <rPr>
        <u/>
        <sz val="12"/>
        <color rgb="FF000000"/>
        <rFont val="Times New Roman"/>
        <family val="1"/>
      </rPr>
      <t>or</t>
    </r>
    <r>
      <rPr>
        <sz val="12"/>
        <color rgb="FF000000"/>
        <rFont val="Times New Roman"/>
        <family val="1"/>
      </rPr>
      <t xml:space="preserve"> 15% </t>
    </r>
    <r>
      <rPr>
        <sz val="12"/>
        <color indexed="8"/>
        <rFont val="Times New Roman"/>
        <family val="1"/>
      </rPr>
      <t xml:space="preserve">(If taxable income exceeds Rs. 1 Cr.) </t>
    </r>
    <r>
      <rPr>
        <u/>
        <sz val="12"/>
        <color indexed="8"/>
        <rFont val="Times New Roman"/>
        <family val="1"/>
      </rPr>
      <t>or</t>
    </r>
    <r>
      <rPr>
        <sz val="12"/>
        <color indexed="8"/>
        <rFont val="Times New Roman"/>
        <family val="1"/>
      </rPr>
      <t xml:space="preserve"> 25% (If taxable income exceeds Rs. 2 Cr.) </t>
    </r>
    <r>
      <rPr>
        <u/>
        <sz val="12"/>
        <color indexed="8"/>
        <rFont val="Times New Roman"/>
        <family val="1"/>
      </rPr>
      <t>or</t>
    </r>
    <r>
      <rPr>
        <sz val="12"/>
        <color indexed="8"/>
        <rFont val="Times New Roman"/>
        <family val="1"/>
      </rPr>
      <t xml:space="preserve"> 37% (If taxable income exceeds Rs. 5 Cr.)</t>
    </r>
  </si>
  <si>
    <t>k. Tuition fees for children (Maximum 2 children)</t>
  </si>
  <si>
    <t>l. Pension Scheme of Central Government u/s 80CCD(1)</t>
  </si>
  <si>
    <t>Less: Deduction under chapter VI A (Refer added Comment)</t>
  </si>
  <si>
    <t>i. 80TTA/80TTB - Deduction in respect of Interest on Savings Account/Deposits</t>
  </si>
  <si>
    <t>Income from Virtual Digital Assets (taxed at 30%)</t>
  </si>
  <si>
    <t xml:space="preserve">  c. Deduction u/s 80EE</t>
  </si>
  <si>
    <t xml:space="preserve">  a. Interest paid on Housing Loan - Self occupied</t>
  </si>
  <si>
    <t xml:space="preserve">  b. Interest paid on Housing Loan - Let Out</t>
  </si>
  <si>
    <t xml:space="preserve">  d. Rent received from let out properties (Net Annual Value)</t>
  </si>
  <si>
    <t>Income Tax Calculator</t>
  </si>
  <si>
    <t>Tips and comments have been provided in the fields, where deemed necessary, to assist the user. Tips and comments are marked by a small red triangle that becomes visible when hovering over the field. Users are requested to consider the tips/comments as they may assist in accurately calculating the required data.</t>
  </si>
  <si>
    <t>Consequently, the comparison under the "Comparison" sheet is auto-generated based on the user's inputs in the "Calculator - Old Tax Regime" sheet.</t>
  </si>
  <si>
    <t>On the "Comparison" sheet, you can find suggestions based on the input to assist the user.</t>
  </si>
  <si>
    <t>Note: You are requested to consult your expert or tax consultant before making any decisions, even based on Tax Ninja's suggestions.</t>
  </si>
  <si>
    <r>
      <rPr>
        <b/>
        <sz val="11"/>
        <color theme="1"/>
        <rFont val="Calibri"/>
        <family val="2"/>
        <scheme val="minor"/>
      </rPr>
      <t xml:space="preserve">Disclaimer: </t>
    </r>
    <r>
      <rPr>
        <sz val="11"/>
        <color theme="1"/>
        <rFont val="Calibri"/>
        <family val="2"/>
        <scheme val="minor"/>
      </rPr>
      <t>While we have taken due care in preparing this Calculator, the possibility of mistakes and omissions cannot be ruled out. Neither the author nor Tax Ninja and its affiliates accept any liability for any loss or damage of any kind arising from any inaccurate or incomplete information in this Calculator, nor for any actions taken in reliance on it. No part of this Calculator should be distributed or copied (except for personal, non-commercial use) without the express written permission of Tax Ninja.</t>
    </r>
  </si>
  <si>
    <r>
      <rPr>
        <b/>
        <sz val="11"/>
        <color theme="1"/>
        <rFont val="Calibri"/>
        <family val="2"/>
        <scheme val="minor"/>
      </rPr>
      <t>Disclaimer :</t>
    </r>
    <r>
      <rPr>
        <sz val="11"/>
        <color rgb="FF000000"/>
        <rFont val="Arial"/>
        <family val="2"/>
      </rPr>
      <t xml:space="preserve"> While we have taken due care in preparing this Calculator, the possibility of mistakes and omissions cannot be ruled out. Neither the author nor Tax Ninja and its affiliates accept any liability for any loss or damage of any kind arising from any inaccurate or incomplete information in this Calculator, nor for any actions taken in reliance on it. No part of this Calculator should be distributed or copied (except for personal, non-commercial use) without the express written permission of Tax Ninja.</t>
    </r>
  </si>
  <si>
    <t>If you have any concerns, please feel free to contact us by sending an email to support@taxninja.in.</t>
  </si>
  <si>
    <t>The user needs to input data in the fields highlighted in grey color. Select data auto-populated from the drop-down list wherever applicable. These instructions apply to the "Calculator - Old Tax Regime" sheet, while the "Comparison" sheet is auto-generated based on the user's inputs in the "Calculator - Old Tax Regime" sheet. 
Note: Blue marked fields are auto-populated based on the user's input.</t>
  </si>
  <si>
    <t>If a field is not applicable, enter "0".</t>
  </si>
  <si>
    <t>Income Tax Calculator for A.Y 2023-24 (F.Y 2022-23)</t>
  </si>
  <si>
    <t>Yes</t>
  </si>
  <si>
    <r>
      <t xml:space="preserve">Surcharge @ 10% (If income exceeds Rs. 50 Lakh) </t>
    </r>
    <r>
      <rPr>
        <u/>
        <sz val="14"/>
        <color rgb="FF000000"/>
        <rFont val="Times New Roman"/>
        <family val="1"/>
      </rPr>
      <t>or</t>
    </r>
    <r>
      <rPr>
        <sz val="14"/>
        <color rgb="FF000000"/>
        <rFont val="Times New Roman"/>
        <family val="1"/>
      </rPr>
      <t xml:space="preserve"> 15% (If income exceeds Rs. 1 Cr.) </t>
    </r>
    <r>
      <rPr>
        <u/>
        <sz val="14"/>
        <color rgb="FF000000"/>
        <rFont val="Times New Roman"/>
        <family val="1"/>
      </rPr>
      <t>or</t>
    </r>
    <r>
      <rPr>
        <sz val="14"/>
        <color rgb="FF000000"/>
        <rFont val="Times New Roman"/>
        <family val="1"/>
      </rPr>
      <t xml:space="preserve"> 25% (If income exceeds Rs. 2 Cr.) </t>
    </r>
    <r>
      <rPr>
        <u/>
        <sz val="14"/>
        <color rgb="FF000000"/>
        <rFont val="Times New Roman"/>
        <family val="1"/>
      </rPr>
      <t>or</t>
    </r>
    <r>
      <rPr>
        <sz val="14"/>
        <color rgb="FF000000"/>
        <rFont val="Times New Roman"/>
        <family val="1"/>
      </rPr>
      <t xml:space="preserve"> 37% (If income exceeds Rs. 5 Cr.)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</si>
</sst>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50" x14ac:knownFonts="1">
    <font>
      <sz val="11"/>
      <color rgb="FF000000"/>
      <name val="Arial"/>
      <family val="2"/>
    </font>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b/>
      <sz val="9"/>
      <color indexed="81"/>
      <name val="Lucida Sans"/>
      <family val="2"/>
    </font>
    <font>
      <sz val="9"/>
      <color indexed="81"/>
      <name val="Lucida Sans"/>
      <family val="2"/>
    </font>
    <font>
      <b/>
      <sz val="10"/>
      <color indexed="81"/>
      <name val="Lucida Sans"/>
      <family val="2"/>
    </font>
    <font>
      <sz val="9"/>
      <color indexed="81"/>
      <name val="Tahoma"/>
      <charset val="1"/>
    </font>
    <font>
      <b/>
      <sz val="9"/>
      <color indexed="81"/>
      <name val="Tahoma"/>
      <charset val="1"/>
    </font>
    <font>
      <sz val="11"/>
      <color rgb="FF000000"/>
      <name val="Arial"/>
      <family val="2"/>
    </font>
    <font>
      <sz val="11"/>
      <color theme="1"/>
      <name val="Calibri"/>
      <family val="2"/>
      <scheme val="minor"/>
    </font>
    <font>
      <b/>
      <sz val="10"/>
      <color rgb="FF000000"/>
      <name val="Arial"/>
      <family val="2"/>
    </font>
    <font>
      <sz val="10"/>
      <color rgb="FFFFFFFF"/>
      <name val="Arial"/>
      <family val="2"/>
    </font>
    <font>
      <sz val="10"/>
      <color rgb="FFCC0000"/>
      <name val="Arial"/>
      <family val="2"/>
    </font>
    <font>
      <b/>
      <sz val="10"/>
      <color rgb="FFFFFFFF"/>
      <name val="Arial"/>
      <family val="2"/>
    </font>
    <font>
      <i/>
      <sz val="10"/>
      <color rgb="FF808080"/>
      <name val="Arial"/>
      <family val="2"/>
    </font>
    <font>
      <sz val="10"/>
      <color rgb="FF006600"/>
      <name val="Arial"/>
      <family val="2"/>
    </font>
    <font>
      <b/>
      <sz val="24"/>
      <color rgb="FF000000"/>
      <name val="Arial"/>
      <family val="2"/>
    </font>
    <font>
      <sz val="18"/>
      <color rgb="FF000000"/>
      <name val="Arial"/>
      <family val="2"/>
    </font>
    <font>
      <sz val="12"/>
      <color rgb="FF000000"/>
      <name val="Arial"/>
      <family val="2"/>
    </font>
    <font>
      <u/>
      <sz val="10"/>
      <color rgb="FF0000EE"/>
      <name val="Arial"/>
      <family val="2"/>
    </font>
    <font>
      <sz val="10"/>
      <color rgb="FF996600"/>
      <name val="Arial"/>
      <family val="2"/>
    </font>
    <font>
      <sz val="10"/>
      <color rgb="FF333333"/>
      <name val="Arial"/>
      <family val="2"/>
    </font>
    <font>
      <b/>
      <sz val="11"/>
      <color theme="1"/>
      <name val="Calibri"/>
      <family val="2"/>
      <scheme val="minor"/>
    </font>
    <font>
      <sz val="11"/>
      <color rgb="FF000000"/>
      <name val="Times New Roman"/>
      <family val="1"/>
    </font>
    <font>
      <sz val="11"/>
      <color theme="1"/>
      <name val="Times New Roman"/>
      <family val="1"/>
    </font>
    <font>
      <sz val="11"/>
      <color theme="0"/>
      <name val="Times New Roman"/>
      <family val="1"/>
    </font>
    <font>
      <b/>
      <sz val="14"/>
      <color rgb="FF0070C0"/>
      <name val="Times New Roman"/>
      <family val="1"/>
    </font>
    <font>
      <b/>
      <sz val="14"/>
      <color rgb="FF002060"/>
      <name val="Times New Roman"/>
      <family val="1"/>
    </font>
    <font>
      <b/>
      <sz val="11"/>
      <color rgb="FF000000"/>
      <name val="Times New Roman"/>
      <family val="1"/>
    </font>
    <font>
      <b/>
      <sz val="11"/>
      <color theme="1"/>
      <name val="Times New Roman"/>
      <family val="1"/>
    </font>
    <font>
      <b/>
      <sz val="12"/>
      <color rgb="FF000000"/>
      <name val="Times New Roman"/>
      <family val="1"/>
    </font>
    <font>
      <b/>
      <sz val="12"/>
      <color theme="1"/>
      <name val="Times New Roman"/>
      <family val="1"/>
    </font>
    <font>
      <b/>
      <sz val="14"/>
      <color rgb="FF00B050"/>
      <name val="Times New Roman"/>
      <family val="1"/>
    </font>
    <font>
      <b/>
      <sz val="14"/>
      <color theme="1"/>
      <name val="Times New Roman"/>
      <family val="1"/>
    </font>
    <font>
      <sz val="14"/>
      <color theme="1"/>
      <name val="Times New Roman"/>
      <family val="1"/>
    </font>
    <font>
      <sz val="14"/>
      <color rgb="FF000000"/>
      <name val="Times New Roman"/>
      <family val="1"/>
    </font>
    <font>
      <b/>
      <sz val="14"/>
      <color rgb="FF000000"/>
      <name val="Times New Roman"/>
      <family val="1"/>
    </font>
    <font>
      <b/>
      <sz val="16"/>
      <color theme="1"/>
      <name val="Times New Roman"/>
      <family val="1"/>
    </font>
    <font>
      <b/>
      <sz val="18"/>
      <color theme="1"/>
      <name val="Times New Roman"/>
      <family val="1"/>
    </font>
    <font>
      <b/>
      <sz val="14"/>
      <color theme="1" tint="4.9989318521683403E-2"/>
      <name val="Times New Roman"/>
      <family val="1"/>
    </font>
    <font>
      <sz val="12"/>
      <color rgb="FF000000"/>
      <name val="Times New Roman"/>
      <family val="1"/>
    </font>
    <font>
      <sz val="12"/>
      <color indexed="8"/>
      <name val="Times New Roman"/>
      <family val="1"/>
    </font>
    <font>
      <sz val="14"/>
      <color theme="1" tint="4.9989318521683403E-2"/>
      <name val="Times New Roman"/>
      <family val="1"/>
    </font>
    <font>
      <b/>
      <sz val="13"/>
      <color rgb="FF000000"/>
      <name val="Times New Roman"/>
      <family val="1"/>
    </font>
    <font>
      <u/>
      <sz val="12"/>
      <color rgb="FF000000"/>
      <name val="Times New Roman"/>
      <family val="1"/>
    </font>
    <font>
      <u/>
      <sz val="12"/>
      <color indexed="8"/>
      <name val="Times New Roman"/>
      <family val="1"/>
    </font>
    <font>
      <b/>
      <sz val="24"/>
      <color theme="1"/>
      <name val="Times New Roman"/>
      <family val="1"/>
    </font>
    <font>
      <u/>
      <sz val="14"/>
      <color rgb="FF000000"/>
      <name val="Times New Roman"/>
      <family val="1"/>
    </font>
  </fonts>
  <fills count="14">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s>
  <borders count="4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bottom style="medium">
        <color indexed="64"/>
      </bottom>
      <diagonal/>
    </border>
    <border>
      <left style="thin">
        <color rgb="FF808080"/>
      </left>
      <right style="thin">
        <color rgb="FF808080"/>
      </right>
      <top style="thin">
        <color rgb="FF808080"/>
      </top>
      <bottom style="thin">
        <color rgb="FF808080"/>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medium">
        <color indexed="64"/>
      </right>
      <top/>
      <bottom/>
      <diagonal/>
    </border>
    <border>
      <left style="thin">
        <color theme="1"/>
      </left>
      <right style="thin">
        <color theme="1"/>
      </right>
      <top style="thin">
        <color theme="1"/>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0">
    <xf numFmtId="0" fontId="0" fillId="0" borderId="0"/>
    <xf numFmtId="0" fontId="12" fillId="0" borderId="0"/>
    <xf numFmtId="0" fontId="13" fillId="2" borderId="0"/>
    <xf numFmtId="0" fontId="13" fillId="3" borderId="0"/>
    <xf numFmtId="0" fontId="12" fillId="4" borderId="0"/>
    <xf numFmtId="0" fontId="14" fillId="5" borderId="0"/>
    <xf numFmtId="43" fontId="11" fillId="0" borderId="0" applyFont="0" applyFill="0" applyBorder="0" applyAlignment="0" applyProtection="0"/>
    <xf numFmtId="0" fontId="15" fillId="6" borderId="0"/>
    <xf numFmtId="0" fontId="16" fillId="0" borderId="0"/>
    <xf numFmtId="0" fontId="17" fillId="7" borderId="0"/>
    <xf numFmtId="0" fontId="18" fillId="0" borderId="0"/>
    <xf numFmtId="0" fontId="19" fillId="0" borderId="0"/>
    <xf numFmtId="0" fontId="20" fillId="0" borderId="0"/>
    <xf numFmtId="0" fontId="21" fillId="0" borderId="0"/>
    <xf numFmtId="0" fontId="22" fillId="8" borderId="0"/>
    <xf numFmtId="0" fontId="23" fillId="8" borderId="12"/>
    <xf numFmtId="9" fontId="11" fillId="0" borderId="0" applyFont="0" applyFill="0" applyBorder="0" applyAlignment="0" applyProtection="0"/>
    <xf numFmtId="0" fontId="10" fillId="0" borderId="0"/>
    <xf numFmtId="0" fontId="10" fillId="0" borderId="0"/>
    <xf numFmtId="0" fontId="14" fillId="0" borderId="0"/>
  </cellStyleXfs>
  <cellXfs count="153">
    <xf numFmtId="0" fontId="0" fillId="0" borderId="0" xfId="0"/>
    <xf numFmtId="0" fontId="25" fillId="0" borderId="0" xfId="0" applyFont="1" applyBorder="1" applyProtection="1">
      <protection locked="0"/>
    </xf>
    <xf numFmtId="0" fontId="29" fillId="0" borderId="0" xfId="0" applyFont="1" applyBorder="1" applyAlignment="1" applyProtection="1">
      <protection locked="0"/>
    </xf>
    <xf numFmtId="0" fontId="25" fillId="0" borderId="5" xfId="0" applyFont="1" applyBorder="1" applyProtection="1">
      <protection locked="0"/>
    </xf>
    <xf numFmtId="49" fontId="25" fillId="0" borderId="10" xfId="0" applyNumberFormat="1" applyFont="1" applyBorder="1" applyProtection="1"/>
    <xf numFmtId="43" fontId="30" fillId="10" borderId="6" xfId="6" applyFont="1" applyFill="1" applyBorder="1" applyAlignment="1" applyProtection="1">
      <protection hidden="1"/>
    </xf>
    <xf numFmtId="43" fontId="25" fillId="10" borderId="13" xfId="6" applyFont="1" applyFill="1" applyBorder="1" applyProtection="1">
      <protection hidden="1"/>
    </xf>
    <xf numFmtId="43" fontId="25" fillId="10" borderId="14" xfId="6" applyFont="1" applyFill="1" applyBorder="1" applyProtection="1">
      <protection hidden="1"/>
    </xf>
    <xf numFmtId="43" fontId="25" fillId="10" borderId="6" xfId="6" applyFont="1" applyFill="1" applyBorder="1" applyProtection="1">
      <protection hidden="1"/>
    </xf>
    <xf numFmtId="10" fontId="33" fillId="10" borderId="18" xfId="16" applyNumberFormat="1" applyFont="1" applyFill="1" applyBorder="1" applyAlignment="1" applyProtection="1">
      <alignment horizontal="right"/>
      <protection hidden="1"/>
    </xf>
    <xf numFmtId="43" fontId="36" fillId="0" borderId="6" xfId="0" applyNumberFormat="1" applyFont="1" applyFill="1" applyBorder="1" applyAlignment="1" applyProtection="1">
      <alignment horizontal="right" vertical="center"/>
      <protection hidden="1"/>
    </xf>
    <xf numFmtId="43" fontId="35" fillId="0" borderId="6" xfId="0" applyNumberFormat="1" applyFont="1" applyFill="1" applyBorder="1" applyAlignment="1" applyProtection="1">
      <alignment horizontal="right" vertical="center"/>
      <protection hidden="1"/>
    </xf>
    <xf numFmtId="43" fontId="35" fillId="0" borderId="6" xfId="6" applyFont="1" applyFill="1" applyBorder="1" applyAlignment="1" applyProtection="1">
      <alignment horizontal="right" vertical="center"/>
      <protection hidden="1"/>
    </xf>
    <xf numFmtId="49" fontId="28" fillId="0" borderId="4" xfId="13" applyNumberFormat="1" applyFont="1" applyBorder="1" applyAlignment="1" applyProtection="1">
      <alignment horizontal="left"/>
      <protection hidden="1"/>
    </xf>
    <xf numFmtId="49" fontId="32" fillId="0" borderId="4" xfId="0" applyNumberFormat="1" applyFont="1" applyBorder="1" applyAlignment="1" applyProtection="1">
      <alignment horizontal="center"/>
      <protection hidden="1"/>
    </xf>
    <xf numFmtId="49" fontId="25" fillId="0" borderId="4" xfId="0" applyNumberFormat="1" applyFont="1" applyBorder="1" applyProtection="1">
      <protection hidden="1"/>
    </xf>
    <xf numFmtId="49" fontId="34" fillId="0" borderId="4" xfId="0" applyNumberFormat="1" applyFont="1" applyBorder="1" applyProtection="1">
      <protection hidden="1"/>
    </xf>
    <xf numFmtId="49" fontId="33" fillId="0" borderId="4" xfId="0" applyNumberFormat="1" applyFont="1" applyBorder="1" applyProtection="1">
      <protection hidden="1"/>
    </xf>
    <xf numFmtId="49" fontId="31" fillId="0" borderId="4" xfId="0" applyNumberFormat="1" applyFont="1" applyBorder="1" applyProtection="1">
      <protection hidden="1"/>
    </xf>
    <xf numFmtId="49" fontId="34" fillId="0" borderId="4" xfId="0" applyNumberFormat="1" applyFont="1" applyFill="1" applyBorder="1" applyProtection="1">
      <protection hidden="1"/>
    </xf>
    <xf numFmtId="49" fontId="34" fillId="0" borderId="11" xfId="0" applyNumberFormat="1" applyFont="1" applyFill="1" applyBorder="1" applyProtection="1">
      <protection hidden="1"/>
    </xf>
    <xf numFmtId="0" fontId="30" fillId="0" borderId="0" xfId="0" applyFont="1" applyBorder="1" applyProtection="1">
      <protection hidden="1"/>
    </xf>
    <xf numFmtId="0" fontId="25" fillId="0" borderId="0" xfId="0" applyFont="1" applyBorder="1" applyProtection="1">
      <protection hidden="1"/>
    </xf>
    <xf numFmtId="43" fontId="25" fillId="0" borderId="0" xfId="6" applyFont="1" applyFill="1" applyBorder="1" applyProtection="1">
      <protection hidden="1"/>
    </xf>
    <xf numFmtId="0" fontId="25" fillId="0" borderId="5" xfId="0" applyFont="1" applyBorder="1" applyProtection="1">
      <protection hidden="1"/>
    </xf>
    <xf numFmtId="49" fontId="25" fillId="0" borderId="10" xfId="0" applyNumberFormat="1" applyFont="1" applyBorder="1" applyProtection="1">
      <protection hidden="1"/>
    </xf>
    <xf numFmtId="49" fontId="42" fillId="0" borderId="4" xfId="0" applyNumberFormat="1" applyFont="1" applyBorder="1" applyAlignment="1" applyProtection="1">
      <alignment horizontal="left"/>
      <protection hidden="1"/>
    </xf>
    <xf numFmtId="49" fontId="42" fillId="0" borderId="4" xfId="0" applyNumberFormat="1" applyFont="1" applyBorder="1" applyProtection="1">
      <protection hidden="1"/>
    </xf>
    <xf numFmtId="49" fontId="32" fillId="0" borderId="4" xfId="0" applyNumberFormat="1" applyFont="1" applyBorder="1" applyProtection="1">
      <protection hidden="1"/>
    </xf>
    <xf numFmtId="49" fontId="42" fillId="0" borderId="4" xfId="0" applyNumberFormat="1" applyFont="1" applyBorder="1" applyAlignment="1" applyProtection="1">
      <alignment wrapText="1"/>
      <protection hidden="1"/>
    </xf>
    <xf numFmtId="49" fontId="32" fillId="0" borderId="4" xfId="0" applyNumberFormat="1" applyFont="1" applyFill="1" applyBorder="1" applyProtection="1">
      <protection hidden="1"/>
    </xf>
    <xf numFmtId="43" fontId="37" fillId="0" borderId="17" xfId="0" applyNumberFormat="1" applyFont="1" applyFill="1" applyBorder="1" applyAlignment="1" applyProtection="1">
      <alignment horizontal="right"/>
      <protection hidden="1"/>
    </xf>
    <xf numFmtId="43" fontId="38" fillId="0" borderId="17" xfId="0" applyNumberFormat="1" applyFont="1" applyFill="1" applyBorder="1" applyAlignment="1" applyProtection="1">
      <alignment horizontal="right"/>
      <protection hidden="1"/>
    </xf>
    <xf numFmtId="10" fontId="38" fillId="0" borderId="31" xfId="16" applyNumberFormat="1" applyFont="1" applyFill="1" applyBorder="1" applyAlignment="1" applyProtection="1">
      <alignment horizontal="right"/>
      <protection hidden="1"/>
    </xf>
    <xf numFmtId="10" fontId="38" fillId="0" borderId="18" xfId="0" applyNumberFormat="1" applyFont="1" applyFill="1" applyBorder="1" applyAlignment="1" applyProtection="1">
      <alignment horizontal="right"/>
      <protection hidden="1"/>
    </xf>
    <xf numFmtId="43" fontId="25" fillId="10" borderId="16" xfId="6" applyFont="1" applyFill="1" applyBorder="1" applyProtection="1">
      <protection hidden="1"/>
    </xf>
    <xf numFmtId="43" fontId="33" fillId="10" borderId="17" xfId="6" applyFont="1" applyFill="1" applyBorder="1" applyAlignment="1" applyProtection="1">
      <alignment vertical="center"/>
      <protection hidden="1"/>
    </xf>
    <xf numFmtId="43" fontId="25" fillId="0" borderId="7" xfId="6" applyFont="1" applyBorder="1" applyProtection="1">
      <protection hidden="1"/>
    </xf>
    <xf numFmtId="43" fontId="25" fillId="0" borderId="0" xfId="6" applyFont="1" applyBorder="1" applyProtection="1">
      <protection hidden="1"/>
    </xf>
    <xf numFmtId="43" fontId="25" fillId="0" borderId="8" xfId="6" applyFont="1" applyBorder="1" applyProtection="1">
      <protection hidden="1"/>
    </xf>
    <xf numFmtId="43" fontId="25" fillId="0" borderId="5" xfId="6" applyFont="1" applyBorder="1" applyProtection="1">
      <protection hidden="1"/>
    </xf>
    <xf numFmtId="43" fontId="30" fillId="10" borderId="9" xfId="6" applyFont="1" applyFill="1" applyBorder="1" applyAlignment="1" applyProtection="1">
      <protection hidden="1"/>
    </xf>
    <xf numFmtId="43" fontId="25" fillId="10" borderId="13" xfId="6" applyFont="1" applyFill="1" applyBorder="1" applyAlignment="1" applyProtection="1">
      <protection hidden="1"/>
    </xf>
    <xf numFmtId="43" fontId="25" fillId="10" borderId="19" xfId="6" applyFont="1" applyFill="1" applyBorder="1" applyProtection="1">
      <protection hidden="1"/>
    </xf>
    <xf numFmtId="43" fontId="0" fillId="0" borderId="0" xfId="6" applyFont="1" applyBorder="1" applyProtection="1">
      <protection hidden="1"/>
    </xf>
    <xf numFmtId="43" fontId="0" fillId="0" borderId="5" xfId="6" applyFont="1" applyBorder="1" applyProtection="1">
      <protection hidden="1"/>
    </xf>
    <xf numFmtId="43" fontId="25" fillId="0" borderId="0" xfId="6" applyFont="1" applyBorder="1"/>
    <xf numFmtId="43" fontId="25" fillId="0" borderId="5" xfId="0" applyNumberFormat="1" applyFont="1" applyBorder="1" applyProtection="1">
      <protection hidden="1"/>
    </xf>
    <xf numFmtId="43" fontId="38" fillId="0" borderId="17" xfId="0" applyNumberFormat="1" applyFont="1" applyFill="1" applyBorder="1" applyAlignment="1" applyProtection="1">
      <alignment horizontal="right" vertical="center"/>
      <protection hidden="1"/>
    </xf>
    <xf numFmtId="0" fontId="0" fillId="0" borderId="0" xfId="0" applyBorder="1"/>
    <xf numFmtId="43" fontId="31" fillId="10" borderId="15" xfId="6" applyFont="1" applyFill="1" applyBorder="1" applyAlignment="1" applyProtection="1">
      <alignment horizontal="center"/>
      <protection hidden="1"/>
    </xf>
    <xf numFmtId="43" fontId="36" fillId="0" borderId="6" xfId="6" applyFont="1" applyFill="1" applyBorder="1" applyAlignment="1" applyProtection="1">
      <alignment horizontal="right"/>
      <protection hidden="1"/>
    </xf>
    <xf numFmtId="43" fontId="37" fillId="0" borderId="17" xfId="6" applyFont="1" applyFill="1" applyBorder="1" applyAlignment="1" applyProtection="1">
      <alignment horizontal="right"/>
      <protection hidden="1"/>
    </xf>
    <xf numFmtId="0" fontId="0" fillId="9" borderId="0" xfId="0" applyFill="1"/>
    <xf numFmtId="43" fontId="0" fillId="9" borderId="0" xfId="0" applyNumberFormat="1" applyFill="1"/>
    <xf numFmtId="10" fontId="38" fillId="9" borderId="4" xfId="16" applyNumberFormat="1" applyFont="1" applyFill="1" applyBorder="1" applyAlignment="1" applyProtection="1">
      <alignment horizontal="center"/>
      <protection hidden="1"/>
    </xf>
    <xf numFmtId="10" fontId="38" fillId="9" borderId="0" xfId="16" applyNumberFormat="1" applyFont="1" applyFill="1" applyBorder="1" applyAlignment="1" applyProtection="1">
      <alignment horizontal="center"/>
      <protection hidden="1"/>
    </xf>
    <xf numFmtId="10" fontId="38" fillId="9" borderId="5" xfId="16" applyNumberFormat="1" applyFont="1" applyFill="1" applyBorder="1" applyAlignment="1" applyProtection="1">
      <alignment horizontal="center"/>
      <protection hidden="1"/>
    </xf>
    <xf numFmtId="49" fontId="38" fillId="9" borderId="0" xfId="0" applyNumberFormat="1" applyFont="1" applyFill="1" applyBorder="1" applyProtection="1"/>
    <xf numFmtId="10" fontId="38" fillId="9" borderId="0" xfId="16" applyNumberFormat="1" applyFont="1" applyFill="1" applyBorder="1" applyAlignment="1" applyProtection="1">
      <alignment horizontal="right"/>
      <protection hidden="1"/>
    </xf>
    <xf numFmtId="10" fontId="38" fillId="9" borderId="0" xfId="0" applyNumberFormat="1" applyFont="1" applyFill="1" applyBorder="1" applyAlignment="1">
      <alignment horizontal="right"/>
    </xf>
    <xf numFmtId="0" fontId="0" fillId="9" borderId="0" xfId="0" applyFill="1" applyAlignment="1">
      <alignment wrapText="1"/>
    </xf>
    <xf numFmtId="0" fontId="25" fillId="9" borderId="0" xfId="0" applyFont="1" applyFill="1"/>
    <xf numFmtId="0" fontId="27" fillId="9" borderId="0" xfId="0" applyFont="1" applyFill="1"/>
    <xf numFmtId="0" fontId="0" fillId="9" borderId="6" xfId="0" applyFill="1" applyBorder="1"/>
    <xf numFmtId="43" fontId="26" fillId="9" borderId="0" xfId="0" applyNumberFormat="1" applyFont="1" applyFill="1"/>
    <xf numFmtId="49" fontId="34" fillId="9" borderId="4" xfId="0" applyNumberFormat="1" applyFont="1" applyFill="1" applyBorder="1" applyProtection="1"/>
    <xf numFmtId="49" fontId="25" fillId="9" borderId="0" xfId="0" applyNumberFormat="1" applyFont="1" applyFill="1" applyBorder="1" applyProtection="1"/>
    <xf numFmtId="10" fontId="33" fillId="9" borderId="0" xfId="16" applyNumberFormat="1" applyFont="1" applyFill="1" applyBorder="1" applyAlignment="1" applyProtection="1">
      <alignment horizontal="right"/>
      <protection hidden="1"/>
    </xf>
    <xf numFmtId="49" fontId="25" fillId="9" borderId="4" xfId="0" applyNumberFormat="1" applyFont="1" applyFill="1" applyBorder="1" applyProtection="1"/>
    <xf numFmtId="0" fontId="30" fillId="0" borderId="5" xfId="0" applyFont="1" applyBorder="1" applyProtection="1">
      <protection hidden="1"/>
    </xf>
    <xf numFmtId="43" fontId="36" fillId="13" borderId="33" xfId="0" applyNumberFormat="1" applyFont="1" applyFill="1" applyBorder="1" applyAlignment="1" applyProtection="1">
      <alignment horizontal="right" vertical="center"/>
      <protection hidden="1"/>
    </xf>
    <xf numFmtId="43" fontId="37" fillId="13" borderId="34" xfId="0" applyNumberFormat="1" applyFont="1" applyFill="1" applyBorder="1" applyAlignment="1" applyProtection="1">
      <alignment horizontal="right"/>
      <protection hidden="1"/>
    </xf>
    <xf numFmtId="43" fontId="36" fillId="13" borderId="6" xfId="0" applyNumberFormat="1" applyFont="1" applyFill="1" applyBorder="1" applyAlignment="1" applyProtection="1">
      <alignment horizontal="right" vertical="center"/>
      <protection hidden="1"/>
    </xf>
    <xf numFmtId="43" fontId="37" fillId="13" borderId="17" xfId="0" applyNumberFormat="1" applyFont="1" applyFill="1" applyBorder="1" applyAlignment="1" applyProtection="1">
      <alignment horizontal="right"/>
      <protection hidden="1"/>
    </xf>
    <xf numFmtId="43" fontId="35" fillId="13" borderId="6" xfId="0" applyNumberFormat="1" applyFont="1" applyFill="1" applyBorder="1" applyAlignment="1" applyProtection="1">
      <alignment horizontal="right"/>
      <protection hidden="1"/>
    </xf>
    <xf numFmtId="43" fontId="38" fillId="13" borderId="17" xfId="0" applyNumberFormat="1" applyFont="1" applyFill="1" applyBorder="1" applyAlignment="1" applyProtection="1">
      <alignment horizontal="right"/>
      <protection hidden="1"/>
    </xf>
    <xf numFmtId="43" fontId="35" fillId="13" borderId="6" xfId="0" applyNumberFormat="1" applyFont="1" applyFill="1" applyBorder="1" applyAlignment="1" applyProtection="1">
      <alignment horizontal="right" vertical="center"/>
      <protection hidden="1"/>
    </xf>
    <xf numFmtId="43" fontId="30" fillId="12" borderId="6" xfId="6" applyFont="1" applyFill="1" applyBorder="1" applyAlignment="1" applyProtection="1">
      <alignment vertical="center"/>
      <protection locked="0"/>
    </xf>
    <xf numFmtId="0" fontId="30" fillId="12" borderId="6" xfId="0" applyFont="1" applyFill="1" applyBorder="1" applyAlignment="1" applyProtection="1">
      <alignment horizontal="center"/>
      <protection locked="0"/>
    </xf>
    <xf numFmtId="43" fontId="25" fillId="12" borderId="6" xfId="6" applyFont="1" applyFill="1" applyBorder="1" applyProtection="1">
      <protection locked="0"/>
    </xf>
    <xf numFmtId="43" fontId="25" fillId="12" borderId="20" xfId="6" applyFont="1" applyFill="1" applyBorder="1" applyProtection="1">
      <protection locked="0"/>
    </xf>
    <xf numFmtId="43" fontId="25" fillId="12" borderId="13" xfId="6" applyFont="1" applyFill="1" applyBorder="1" applyProtection="1">
      <protection locked="0"/>
    </xf>
    <xf numFmtId="43" fontId="26" fillId="12" borderId="14" xfId="6" applyFont="1" applyFill="1" applyBorder="1" applyProtection="1">
      <protection locked="0"/>
    </xf>
    <xf numFmtId="43" fontId="26" fillId="12" borderId="13" xfId="6" applyFont="1" applyFill="1" applyBorder="1" applyProtection="1">
      <protection locked="0"/>
    </xf>
    <xf numFmtId="43" fontId="31" fillId="12" borderId="13" xfId="6" applyFont="1" applyFill="1" applyBorder="1" applyProtection="1">
      <protection locked="0"/>
    </xf>
    <xf numFmtId="43" fontId="25" fillId="12" borderId="16" xfId="6" applyFont="1" applyFill="1" applyBorder="1" applyProtection="1">
      <protection locked="0"/>
    </xf>
    <xf numFmtId="43" fontId="33" fillId="12" borderId="17" xfId="6" applyFont="1" applyFill="1" applyBorder="1" applyAlignment="1" applyProtection="1">
      <alignment vertical="center"/>
      <protection locked="0"/>
    </xf>
    <xf numFmtId="0" fontId="31" fillId="12" borderId="29" xfId="0" applyFont="1" applyFill="1" applyBorder="1" applyAlignment="1" applyProtection="1">
      <alignment horizontal="center" wrapText="1"/>
      <protection locked="0"/>
    </xf>
    <xf numFmtId="0" fontId="30" fillId="0" borderId="5" xfId="0" applyFont="1" applyBorder="1" applyAlignment="1" applyProtection="1">
      <alignment horizontal="right" vertical="top"/>
      <protection locked="0"/>
    </xf>
    <xf numFmtId="49" fontId="39" fillId="11" borderId="32" xfId="0" applyNumberFormat="1" applyFont="1" applyFill="1" applyBorder="1" applyAlignment="1" applyProtection="1">
      <alignment vertical="center"/>
      <protection hidden="1"/>
    </xf>
    <xf numFmtId="49" fontId="39" fillId="11" borderId="32" xfId="0" applyNumberFormat="1" applyFont="1" applyFill="1" applyBorder="1" applyAlignment="1" applyProtection="1">
      <alignment horizontal="center" vertical="center"/>
      <protection hidden="1"/>
    </xf>
    <xf numFmtId="49" fontId="39" fillId="11" borderId="3" xfId="0" applyNumberFormat="1" applyFont="1" applyFill="1" applyBorder="1" applyAlignment="1" applyProtection="1">
      <alignment horizontal="center" vertical="center"/>
      <protection hidden="1"/>
    </xf>
    <xf numFmtId="49" fontId="41" fillId="13" borderId="28" xfId="0" applyNumberFormat="1" applyFont="1" applyFill="1" applyBorder="1" applyAlignment="1" applyProtection="1">
      <alignment vertical="center"/>
      <protection hidden="1"/>
    </xf>
    <xf numFmtId="49" fontId="41" fillId="13" borderId="29" xfId="0" applyNumberFormat="1" applyFont="1" applyFill="1" applyBorder="1" applyAlignment="1" applyProtection="1">
      <alignment vertical="center"/>
      <protection hidden="1"/>
    </xf>
    <xf numFmtId="49" fontId="37" fillId="13" borderId="29" xfId="0" applyNumberFormat="1" applyFont="1" applyFill="1" applyBorder="1" applyAlignment="1" applyProtection="1">
      <alignment vertical="center"/>
      <protection hidden="1"/>
    </xf>
    <xf numFmtId="49" fontId="44" fillId="0" borderId="29" xfId="0" applyNumberFormat="1" applyFont="1" applyFill="1" applyBorder="1" applyAlignment="1" applyProtection="1">
      <alignment vertical="center"/>
      <protection hidden="1"/>
    </xf>
    <xf numFmtId="49" fontId="37" fillId="0" borderId="29" xfId="0" applyNumberFormat="1" applyFont="1" applyFill="1" applyBorder="1" applyAlignment="1" applyProtection="1">
      <alignment vertical="center"/>
      <protection hidden="1"/>
    </xf>
    <xf numFmtId="49" fontId="38" fillId="0" borderId="29" xfId="0" applyNumberFormat="1" applyFont="1" applyFill="1" applyBorder="1" applyAlignment="1" applyProtection="1">
      <alignment vertical="center"/>
      <protection hidden="1"/>
    </xf>
    <xf numFmtId="49" fontId="37" fillId="0" borderId="29" xfId="0" applyNumberFormat="1" applyFont="1" applyFill="1" applyBorder="1" applyAlignment="1" applyProtection="1">
      <alignment vertical="center" wrapText="1"/>
      <protection hidden="1"/>
    </xf>
    <xf numFmtId="49" fontId="38" fillId="0" borderId="30" xfId="0" applyNumberFormat="1" applyFont="1" applyFill="1" applyBorder="1" applyAlignment="1" applyProtection="1">
      <alignment vertical="center"/>
      <protection hidden="1"/>
    </xf>
    <xf numFmtId="49" fontId="48" fillId="11" borderId="21" xfId="0" applyNumberFormat="1" applyFont="1" applyFill="1" applyBorder="1" applyAlignment="1" applyProtection="1">
      <alignment horizontal="center" vertical="center" wrapText="1"/>
      <protection hidden="1"/>
    </xf>
    <xf numFmtId="49" fontId="48" fillId="11" borderId="23" xfId="0" applyNumberFormat="1" applyFont="1" applyFill="1" applyBorder="1" applyAlignment="1" applyProtection="1">
      <alignment horizontal="center" vertical="center" wrapText="1"/>
      <protection hidden="1"/>
    </xf>
    <xf numFmtId="49" fontId="48" fillId="11" borderId="4" xfId="0" applyNumberFormat="1" applyFont="1" applyFill="1" applyBorder="1" applyAlignment="1" applyProtection="1">
      <alignment horizontal="center" vertical="center" wrapText="1"/>
      <protection hidden="1"/>
    </xf>
    <xf numFmtId="49" fontId="48" fillId="11" borderId="5" xfId="0" applyNumberFormat="1" applyFont="1" applyFill="1" applyBorder="1" applyAlignment="1" applyProtection="1">
      <alignment horizontal="center" vertical="center" wrapText="1"/>
      <protection hidden="1"/>
    </xf>
    <xf numFmtId="0" fontId="39" fillId="11" borderId="38" xfId="0" applyNumberFormat="1" applyFont="1" applyFill="1" applyBorder="1" applyAlignment="1" applyProtection="1">
      <alignment horizontal="center" vertical="center" wrapText="1"/>
      <protection hidden="1"/>
    </xf>
    <xf numFmtId="0" fontId="39" fillId="11" borderId="39" xfId="0" applyNumberFormat="1" applyFont="1" applyFill="1" applyBorder="1" applyAlignment="1" applyProtection="1">
      <alignment horizontal="center" vertical="center" wrapText="1"/>
      <protection hidden="1"/>
    </xf>
    <xf numFmtId="0" fontId="2" fillId="9" borderId="21" xfId="0" applyFont="1" applyFill="1" applyBorder="1" applyAlignment="1">
      <alignment horizontal="center" vertical="center" wrapText="1"/>
    </xf>
    <xf numFmtId="0" fontId="0" fillId="9" borderId="22" xfId="0" applyFill="1" applyBorder="1" applyAlignment="1">
      <alignment horizontal="center" vertical="center" wrapText="1"/>
    </xf>
    <xf numFmtId="0" fontId="0" fillId="9" borderId="23" xfId="0" applyFill="1" applyBorder="1" applyAlignment="1">
      <alignment horizontal="center" vertical="center" wrapText="1"/>
    </xf>
    <xf numFmtId="0" fontId="0" fillId="9" borderId="4" xfId="0" applyFill="1" applyBorder="1" applyAlignment="1">
      <alignment horizontal="center" vertical="center" wrapText="1"/>
    </xf>
    <xf numFmtId="0" fontId="0" fillId="9" borderId="0" xfId="0" applyFill="1" applyBorder="1" applyAlignment="1">
      <alignment horizontal="center" vertical="center" wrapText="1"/>
    </xf>
    <xf numFmtId="0" fontId="0" fillId="9" borderId="5" xfId="0" applyFill="1" applyBorder="1" applyAlignment="1">
      <alignment horizontal="center" vertical="center" wrapText="1"/>
    </xf>
    <xf numFmtId="0" fontId="0" fillId="9" borderId="11" xfId="0" applyFill="1" applyBorder="1" applyAlignment="1">
      <alignment horizontal="center" vertical="center" wrapText="1"/>
    </xf>
    <xf numFmtId="0" fontId="0" fillId="9" borderId="10" xfId="0" applyFill="1" applyBorder="1" applyAlignment="1">
      <alignment horizontal="center" vertical="center" wrapText="1"/>
    </xf>
    <xf numFmtId="0" fontId="0" fillId="9" borderId="24" xfId="0" applyFill="1" applyBorder="1" applyAlignment="1">
      <alignment horizontal="center" vertical="center" wrapText="1"/>
    </xf>
    <xf numFmtId="49" fontId="40" fillId="11" borderId="21" xfId="0" applyNumberFormat="1" applyFont="1" applyFill="1" applyBorder="1" applyAlignment="1" applyProtection="1">
      <alignment horizontal="center" vertical="top" wrapText="1"/>
      <protection hidden="1"/>
    </xf>
    <xf numFmtId="49" fontId="40" fillId="11" borderId="22" xfId="0" applyNumberFormat="1" applyFont="1" applyFill="1" applyBorder="1" applyAlignment="1" applyProtection="1">
      <alignment horizontal="center" vertical="top" wrapText="1"/>
      <protection hidden="1"/>
    </xf>
    <xf numFmtId="49" fontId="40" fillId="11" borderId="23" xfId="0" applyNumberFormat="1" applyFont="1" applyFill="1" applyBorder="1" applyAlignment="1" applyProtection="1">
      <alignment horizontal="center" vertical="top" wrapText="1"/>
      <protection hidden="1"/>
    </xf>
    <xf numFmtId="0" fontId="37" fillId="13" borderId="35" xfId="0" applyFont="1" applyFill="1" applyBorder="1" applyAlignment="1">
      <alignment horizontal="left" wrapText="1"/>
    </xf>
    <xf numFmtId="0" fontId="37" fillId="13" borderId="36" xfId="0" applyFont="1" applyFill="1" applyBorder="1" applyAlignment="1">
      <alignment horizontal="left" wrapText="1"/>
    </xf>
    <xf numFmtId="0" fontId="37" fillId="13" borderId="37" xfId="0" applyFont="1" applyFill="1" applyBorder="1" applyAlignment="1">
      <alignment horizontal="left" wrapText="1"/>
    </xf>
    <xf numFmtId="0" fontId="37" fillId="13" borderId="29" xfId="0" applyFont="1" applyFill="1" applyBorder="1" applyAlignment="1">
      <alignment horizontal="left" wrapText="1"/>
    </xf>
    <xf numFmtId="0" fontId="37" fillId="13" borderId="6" xfId="0" applyFont="1" applyFill="1" applyBorder="1" applyAlignment="1">
      <alignment horizontal="left" wrapText="1"/>
    </xf>
    <xf numFmtId="0" fontId="37" fillId="13" borderId="17" xfId="0" applyFont="1" applyFill="1" applyBorder="1" applyAlignment="1">
      <alignment horizontal="left" wrapText="1"/>
    </xf>
    <xf numFmtId="0" fontId="37" fillId="13" borderId="30" xfId="0" applyFont="1" applyFill="1" applyBorder="1" applyAlignment="1">
      <alignment horizontal="left" wrapText="1"/>
    </xf>
    <xf numFmtId="0" fontId="37" fillId="13" borderId="31" xfId="0" applyFont="1" applyFill="1" applyBorder="1" applyAlignment="1">
      <alignment horizontal="left" wrapText="1"/>
    </xf>
    <xf numFmtId="0" fontId="37" fillId="13" borderId="18" xfId="0" applyFont="1" applyFill="1" applyBorder="1" applyAlignment="1">
      <alignment horizontal="left" wrapText="1"/>
    </xf>
    <xf numFmtId="10" fontId="45" fillId="9" borderId="1" xfId="16" applyNumberFormat="1" applyFont="1" applyFill="1" applyBorder="1" applyAlignment="1" applyProtection="1">
      <alignment horizontal="center"/>
      <protection hidden="1"/>
    </xf>
    <xf numFmtId="10" fontId="45" fillId="9" borderId="2" xfId="16" applyNumberFormat="1" applyFont="1" applyFill="1" applyBorder="1" applyAlignment="1" applyProtection="1">
      <alignment horizontal="center"/>
      <protection hidden="1"/>
    </xf>
    <xf numFmtId="10" fontId="45" fillId="9" borderId="3" xfId="16" applyNumberFormat="1" applyFont="1" applyFill="1" applyBorder="1" applyAlignment="1" applyProtection="1">
      <alignment horizontal="center"/>
      <protection hidden="1"/>
    </xf>
    <xf numFmtId="49" fontId="38" fillId="9" borderId="25" xfId="0" applyNumberFormat="1" applyFont="1" applyFill="1" applyBorder="1" applyAlignment="1" applyProtection="1">
      <alignment horizontal="center" vertical="center"/>
    </xf>
    <xf numFmtId="49" fontId="38" fillId="9" borderId="26" xfId="0" applyNumberFormat="1" applyFont="1" applyFill="1" applyBorder="1" applyAlignment="1" applyProtection="1">
      <alignment horizontal="center" vertical="center"/>
    </xf>
    <xf numFmtId="49" fontId="38" fillId="9" borderId="27" xfId="0" applyNumberFormat="1" applyFont="1" applyFill="1" applyBorder="1" applyAlignment="1" applyProtection="1">
      <alignment horizontal="center" vertical="center"/>
    </xf>
    <xf numFmtId="0" fontId="0" fillId="9" borderId="6" xfId="0" applyFill="1" applyBorder="1" applyAlignment="1">
      <alignment horizontal="center" vertical="center" wrapText="1"/>
    </xf>
    <xf numFmtId="49" fontId="40" fillId="11" borderId="1" xfId="0" applyNumberFormat="1" applyFont="1" applyFill="1" applyBorder="1" applyAlignment="1" applyProtection="1">
      <alignment horizontal="center" vertical="center"/>
    </xf>
    <xf numFmtId="49" fontId="40" fillId="11" borderId="2" xfId="0" applyNumberFormat="1" applyFont="1" applyFill="1" applyBorder="1" applyAlignment="1" applyProtection="1">
      <alignment horizontal="center" vertical="center"/>
    </xf>
    <xf numFmtId="49" fontId="40" fillId="11" borderId="3" xfId="0" applyNumberFormat="1" applyFont="1" applyFill="1" applyBorder="1" applyAlignment="1" applyProtection="1">
      <alignment horizontal="center" vertical="center"/>
    </xf>
    <xf numFmtId="0" fontId="0" fillId="9" borderId="21" xfId="0" applyFill="1" applyBorder="1" applyAlignment="1">
      <alignment horizontal="center" vertical="center" wrapText="1"/>
    </xf>
    <xf numFmtId="49" fontId="38" fillId="9" borderId="1" xfId="0" applyNumberFormat="1" applyFont="1" applyFill="1" applyBorder="1" applyAlignment="1" applyProtection="1">
      <alignment horizontal="center" vertical="center"/>
    </xf>
    <xf numFmtId="49" fontId="38" fillId="9" borderId="2" xfId="0" applyNumberFormat="1" applyFont="1" applyFill="1" applyBorder="1" applyAlignment="1" applyProtection="1">
      <alignment horizontal="center" vertical="center"/>
    </xf>
    <xf numFmtId="49" fontId="38" fillId="9" borderId="3" xfId="0" applyNumberFormat="1" applyFont="1" applyFill="1" applyBorder="1" applyAlignment="1" applyProtection="1">
      <alignment horizontal="center" vertical="center"/>
    </xf>
    <xf numFmtId="10" fontId="38" fillId="10" borderId="1" xfId="16" applyNumberFormat="1" applyFont="1" applyFill="1" applyBorder="1" applyAlignment="1" applyProtection="1">
      <alignment horizontal="center" vertical="center"/>
      <protection hidden="1"/>
    </xf>
    <xf numFmtId="10" fontId="38" fillId="10" borderId="2" xfId="16" applyNumberFormat="1" applyFont="1" applyFill="1" applyBorder="1" applyAlignment="1" applyProtection="1">
      <alignment horizontal="center" vertical="center"/>
      <protection hidden="1"/>
    </xf>
    <xf numFmtId="10" fontId="38" fillId="10" borderId="3" xfId="16" applyNumberFormat="1" applyFont="1" applyFill="1" applyBorder="1" applyAlignment="1" applyProtection="1">
      <alignment horizontal="center" vertical="center"/>
      <protection hidden="1"/>
    </xf>
    <xf numFmtId="49" fontId="48" fillId="11" borderId="38" xfId="0" applyNumberFormat="1" applyFont="1" applyFill="1" applyBorder="1" applyAlignment="1" applyProtection="1">
      <alignment horizontal="center" vertical="center" wrapText="1"/>
      <protection hidden="1"/>
    </xf>
    <xf numFmtId="49" fontId="48" fillId="11" borderId="40" xfId="0" applyNumberFormat="1" applyFont="1" applyFill="1" applyBorder="1" applyAlignment="1" applyProtection="1">
      <alignment horizontal="center" vertical="center" wrapText="1"/>
      <protection hidden="1"/>
    </xf>
    <xf numFmtId="49" fontId="39" fillId="11" borderId="21" xfId="0" applyNumberFormat="1" applyFont="1" applyFill="1" applyBorder="1" applyAlignment="1" applyProtection="1">
      <alignment horizontal="center" vertical="center" wrapText="1"/>
      <protection hidden="1"/>
    </xf>
    <xf numFmtId="49" fontId="39" fillId="11" borderId="23" xfId="0" applyNumberFormat="1" applyFont="1" applyFill="1" applyBorder="1" applyAlignment="1" applyProtection="1">
      <alignment horizontal="center" vertical="center" wrapText="1"/>
      <protection hidden="1"/>
    </xf>
    <xf numFmtId="49" fontId="39" fillId="11" borderId="11" xfId="0" applyNumberFormat="1" applyFont="1" applyFill="1" applyBorder="1" applyAlignment="1" applyProtection="1">
      <alignment horizontal="center" vertical="center" wrapText="1"/>
      <protection hidden="1"/>
    </xf>
    <xf numFmtId="49" fontId="39" fillId="11" borderId="24" xfId="0" applyNumberFormat="1" applyFont="1" applyFill="1" applyBorder="1" applyAlignment="1" applyProtection="1">
      <alignment horizontal="center" vertical="center" wrapText="1"/>
      <protection hidden="1"/>
    </xf>
    <xf numFmtId="14" fontId="30" fillId="12" borderId="29" xfId="0" applyNumberFormat="1" applyFont="1" applyFill="1" applyBorder="1" applyAlignment="1" applyProtection="1">
      <alignment horizontal="center"/>
      <protection locked="0"/>
    </xf>
    <xf numFmtId="0" fontId="30" fillId="10" borderId="29" xfId="0" applyFont="1" applyFill="1" applyBorder="1" applyAlignment="1" applyProtection="1">
      <alignment horizontal="center"/>
      <protection hidden="1"/>
    </xf>
  </cellXfs>
  <cellStyles count="20">
    <cellStyle name="Accent" xfId="1"/>
    <cellStyle name="Accent 1" xfId="2"/>
    <cellStyle name="Accent 2" xfId="3"/>
    <cellStyle name="Accent 3" xfId="4"/>
    <cellStyle name="Bad" xfId="5" builtinId="27" customBuiltin="1"/>
    <cellStyle name="Comma" xfId="6" builtinId="3"/>
    <cellStyle name="Error" xfId="7"/>
    <cellStyle name="Footnote" xfId="8"/>
    <cellStyle name="Good" xfId="9" builtinId="26" customBuiltin="1"/>
    <cellStyle name="Heading" xfId="10"/>
    <cellStyle name="Heading 1" xfId="11" builtinId="16" customBuiltin="1"/>
    <cellStyle name="Heading 2" xfId="12" builtinId="17" customBuiltin="1"/>
    <cellStyle name="Hyperlink" xfId="13" builtinId="8"/>
    <cellStyle name="Neutral" xfId="14" builtinId="28" customBuiltin="1"/>
    <cellStyle name="Normal" xfId="0" builtinId="0" customBuiltin="1"/>
    <cellStyle name="Note" xfId="15" builtinId="10" customBuiltin="1"/>
    <cellStyle name="Percent" xfId="16" builtinId="5"/>
    <cellStyle name="Status" xfId="17"/>
    <cellStyle name="Text" xfId="18"/>
    <cellStyle name="Warning" xfId="19"/>
  </cellStyles>
  <dxfs count="1">
    <dxf>
      <fill>
        <patternFill>
          <bgColor theme="0" tint="-4.9989318521683403E-2"/>
        </patternFill>
      </fill>
    </dxf>
  </dxfs>
  <tableStyles count="0" defaultTableStyle="TableStyleMedium2" defaultPivotStyle="PivotStyleLight16"/>
  <colors>
    <mruColors>
      <color rgb="FFAFE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taxninja.in/" TargetMode="External"/><Relationship Id="rId2" Type="http://schemas.openxmlformats.org/officeDocument/2006/relationships/image" Target="../media/image1.png"/><Relationship Id="rId1" Type="http://schemas.openxmlformats.org/officeDocument/2006/relationships/hyperlink" Target="https://ask.taxninja.in/ask" TargetMode="Externa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hyperlink" Target="https://taxninja.in/" TargetMode="External"/><Relationship Id="rId2" Type="http://schemas.openxmlformats.org/officeDocument/2006/relationships/image" Target="../media/image1.png"/><Relationship Id="rId1" Type="http://schemas.openxmlformats.org/officeDocument/2006/relationships/hyperlink" Target="https://ask.taxninja.in/ask" TargetMode="External"/><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hyperlink" Target="https://taxninja.in/" TargetMode="External"/><Relationship Id="rId2" Type="http://schemas.openxmlformats.org/officeDocument/2006/relationships/image" Target="../media/image1.png"/><Relationship Id="rId1" Type="http://schemas.openxmlformats.org/officeDocument/2006/relationships/hyperlink" Target="https://ask.taxninja.in/ask"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59531</xdr:colOff>
      <xdr:row>2</xdr:row>
      <xdr:rowOff>238125</xdr:rowOff>
    </xdr:from>
    <xdr:to>
      <xdr:col>6</xdr:col>
      <xdr:colOff>595309</xdr:colOff>
      <xdr:row>5</xdr:row>
      <xdr:rowOff>39779</xdr:rowOff>
    </xdr:to>
    <xdr:pic>
      <xdr:nvPicPr>
        <xdr:cNvPr id="4" name="Picture 3" descr="Ask by Tax Ninja banner">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698831" y="790575"/>
          <a:ext cx="2593178" cy="1830479"/>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66675</xdr:colOff>
      <xdr:row>0</xdr:row>
      <xdr:rowOff>57150</xdr:rowOff>
    </xdr:from>
    <xdr:to>
      <xdr:col>6</xdr:col>
      <xdr:colOff>571500</xdr:colOff>
      <xdr:row>2</xdr:row>
      <xdr:rowOff>152400</xdr:rowOff>
    </xdr:to>
    <xdr:pic>
      <xdr:nvPicPr>
        <xdr:cNvPr id="5" name="Picture 4" descr="Tax Ninja Logo">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705975" y="57150"/>
          <a:ext cx="2562225" cy="647700"/>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57150</xdr:colOff>
      <xdr:row>2</xdr:row>
      <xdr:rowOff>142875</xdr:rowOff>
    </xdr:from>
    <xdr:to>
      <xdr:col>4</xdr:col>
      <xdr:colOff>2650328</xdr:colOff>
      <xdr:row>11</xdr:row>
      <xdr:rowOff>144554</xdr:rowOff>
    </xdr:to>
    <xdr:pic>
      <xdr:nvPicPr>
        <xdr:cNvPr id="6" name="Picture 5" descr="Ask by Tax Ninja banner">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72575" y="733425"/>
          <a:ext cx="2593178" cy="1830479"/>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64294</xdr:colOff>
      <xdr:row>0</xdr:row>
      <xdr:rowOff>0</xdr:rowOff>
    </xdr:from>
    <xdr:to>
      <xdr:col>4</xdr:col>
      <xdr:colOff>2626519</xdr:colOff>
      <xdr:row>2</xdr:row>
      <xdr:rowOff>57150</xdr:rowOff>
    </xdr:to>
    <xdr:pic>
      <xdr:nvPicPr>
        <xdr:cNvPr id="7" name="Picture 6" descr="Tax Ninja Logo">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179719" y="0"/>
          <a:ext cx="2562225" cy="647700"/>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57150</xdr:colOff>
      <xdr:row>2</xdr:row>
      <xdr:rowOff>161925</xdr:rowOff>
    </xdr:from>
    <xdr:to>
      <xdr:col>6</xdr:col>
      <xdr:colOff>335753</xdr:colOff>
      <xdr:row>10</xdr:row>
      <xdr:rowOff>58829</xdr:rowOff>
    </xdr:to>
    <xdr:pic>
      <xdr:nvPicPr>
        <xdr:cNvPr id="8" name="Picture 7" descr="Ask by Tax Ninja banner">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48850" y="733425"/>
          <a:ext cx="2593178" cy="1830479"/>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64294</xdr:colOff>
      <xdr:row>0</xdr:row>
      <xdr:rowOff>0</xdr:rowOff>
    </xdr:from>
    <xdr:to>
      <xdr:col>6</xdr:col>
      <xdr:colOff>311944</xdr:colOff>
      <xdr:row>2</xdr:row>
      <xdr:rowOff>76200</xdr:rowOff>
    </xdr:to>
    <xdr:pic>
      <xdr:nvPicPr>
        <xdr:cNvPr id="9" name="Picture 8" descr="Tax Ninja Logo">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855994" y="0"/>
          <a:ext cx="2562225" cy="647700"/>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17"/>
  <sheetViews>
    <sheetView showGridLines="0" tabSelected="1" zoomScaleNormal="100" zoomScaleSheetLayoutView="100" workbookViewId="0">
      <selection sqref="A1:B2"/>
    </sheetView>
  </sheetViews>
  <sheetFormatPr defaultRowHeight="14.25" x14ac:dyDescent="0.2"/>
  <cols>
    <col min="1" max="1" width="75" style="53" customWidth="1"/>
    <col min="2" max="2" width="9" style="53"/>
    <col min="3" max="3" width="42.5" style="53" customWidth="1"/>
    <col min="4" max="16384" width="9" style="53"/>
  </cols>
  <sheetData>
    <row r="1" spans="1:5" ht="14.25" customHeight="1" x14ac:dyDescent="0.2">
      <c r="A1" s="101" t="s">
        <v>80</v>
      </c>
      <c r="B1" s="102"/>
      <c r="C1" s="105" t="s">
        <v>67</v>
      </c>
    </row>
    <row r="2" spans="1:5" ht="29.25" customHeight="1" thickBot="1" x14ac:dyDescent="0.25">
      <c r="A2" s="103"/>
      <c r="B2" s="104"/>
      <c r="C2" s="106"/>
    </row>
    <row r="3" spans="1:5" ht="23.25" thickBot="1" x14ac:dyDescent="0.25">
      <c r="A3" s="116" t="s">
        <v>65</v>
      </c>
      <c r="B3" s="117"/>
      <c r="C3" s="118"/>
      <c r="E3" s="61"/>
    </row>
    <row r="4" spans="1:5" ht="78.75" customHeight="1" x14ac:dyDescent="0.3">
      <c r="A4" s="119" t="s">
        <v>88</v>
      </c>
      <c r="B4" s="120"/>
      <c r="C4" s="121"/>
    </row>
    <row r="5" spans="1:5" ht="57.75" customHeight="1" x14ac:dyDescent="0.3">
      <c r="A5" s="122" t="s">
        <v>81</v>
      </c>
      <c r="B5" s="123"/>
      <c r="C5" s="124"/>
    </row>
    <row r="6" spans="1:5" ht="18.75" x14ac:dyDescent="0.3">
      <c r="A6" s="122" t="s">
        <v>89</v>
      </c>
      <c r="B6" s="123"/>
      <c r="C6" s="124"/>
    </row>
    <row r="7" spans="1:5" ht="39" customHeight="1" x14ac:dyDescent="0.3">
      <c r="A7" s="122" t="s">
        <v>82</v>
      </c>
      <c r="B7" s="123"/>
      <c r="C7" s="124"/>
    </row>
    <row r="8" spans="1:5" ht="19.5" thickBot="1" x14ac:dyDescent="0.35">
      <c r="A8" s="125" t="s">
        <v>83</v>
      </c>
      <c r="B8" s="126"/>
      <c r="C8" s="127"/>
    </row>
    <row r="10" spans="1:5" ht="15" thickBot="1" x14ac:dyDescent="0.25"/>
    <row r="11" spans="1:5" ht="17.25" thickBot="1" x14ac:dyDescent="0.3">
      <c r="A11" s="128" t="s">
        <v>84</v>
      </c>
      <c r="B11" s="129"/>
      <c r="C11" s="130"/>
    </row>
    <row r="12" spans="1:5" ht="19.5" thickBot="1" x14ac:dyDescent="0.35">
      <c r="A12" s="58"/>
      <c r="B12" s="59"/>
      <c r="C12" s="60"/>
    </row>
    <row r="13" spans="1:5" ht="19.5" thickBot="1" x14ac:dyDescent="0.25">
      <c r="A13" s="131" t="s">
        <v>87</v>
      </c>
      <c r="B13" s="132"/>
      <c r="C13" s="133"/>
    </row>
    <row r="14" spans="1:5" ht="15" thickBot="1" x14ac:dyDescent="0.25"/>
    <row r="15" spans="1:5" x14ac:dyDescent="0.2">
      <c r="A15" s="107" t="s">
        <v>85</v>
      </c>
      <c r="B15" s="108"/>
      <c r="C15" s="109"/>
    </row>
    <row r="16" spans="1:5" x14ac:dyDescent="0.2">
      <c r="A16" s="110"/>
      <c r="B16" s="111"/>
      <c r="C16" s="112"/>
    </row>
    <row r="17" spans="1:3" ht="39" customHeight="1" thickBot="1" x14ac:dyDescent="0.25">
      <c r="A17" s="113"/>
      <c r="B17" s="114"/>
      <c r="C17" s="115"/>
    </row>
  </sheetData>
  <sheetProtection algorithmName="SHA-512" hashValue="flvOiNFiWbYF6uq/4OFT+aGpM0RbFy8xSpRB58Qru9uL3Vb9xUOZcOPgTNrCJETMlCM+bSsjF5/nA30ddiqnHQ==" saltValue="usqfeviuKtwDBdWuKb3PYg==" spinCount="100000" sheet="1" objects="1" scenarios="1"/>
  <mergeCells count="11">
    <mergeCell ref="A1:B2"/>
    <mergeCell ref="C1:C2"/>
    <mergeCell ref="A15:C17"/>
    <mergeCell ref="A3:C3"/>
    <mergeCell ref="A4:C4"/>
    <mergeCell ref="A5:C5"/>
    <mergeCell ref="A6:C6"/>
    <mergeCell ref="A7:C7"/>
    <mergeCell ref="A8:C8"/>
    <mergeCell ref="A11:C11"/>
    <mergeCell ref="A13:C13"/>
  </mergeCells>
  <pageMargins left="0.7" right="0.7" top="0.75" bottom="0.75" header="0.3" footer="0.3"/>
  <pageSetup paperSize="9" scale="95" orientation="landscape"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Y75"/>
  <sheetViews>
    <sheetView showGridLines="0" zoomScaleNormal="100" zoomScaleSheetLayoutView="100" workbookViewId="0">
      <selection sqref="A1:D1"/>
    </sheetView>
  </sheetViews>
  <sheetFormatPr defaultRowHeight="14.25" x14ac:dyDescent="0.2"/>
  <cols>
    <col min="1" max="1" width="69" style="53" customWidth="1"/>
    <col min="2" max="2" width="17.5" style="53" customWidth="1"/>
    <col min="3" max="3" width="14.625" style="53" customWidth="1"/>
    <col min="4" max="4" width="18.5" style="53" customWidth="1"/>
    <col min="5" max="5" width="43.375" style="53" customWidth="1"/>
    <col min="6" max="6" width="39" style="53" customWidth="1"/>
    <col min="7" max="7" width="15" style="53" hidden="1" customWidth="1"/>
    <col min="8" max="8" width="17.875" style="53" hidden="1" customWidth="1"/>
    <col min="9" max="9" width="5.875" style="53" hidden="1" customWidth="1"/>
    <col min="10" max="10" width="22.625" style="53" hidden="1" customWidth="1"/>
    <col min="11" max="11" width="36.125" style="53" hidden="1" customWidth="1"/>
    <col min="12" max="12" width="22.125" style="53" hidden="1" customWidth="1"/>
    <col min="13" max="13" width="22.5" style="53" hidden="1" customWidth="1"/>
    <col min="14" max="14" width="31.625" style="53" hidden="1" customWidth="1"/>
    <col min="15" max="15" width="34.875" style="53" hidden="1" customWidth="1"/>
    <col min="16" max="16" width="36" style="53" hidden="1" customWidth="1"/>
    <col min="17" max="17" width="31.375" style="53" hidden="1" customWidth="1"/>
    <col min="18" max="18" width="33.25" style="53" hidden="1" customWidth="1"/>
    <col min="19" max="19" width="25.25" style="53" hidden="1" customWidth="1"/>
    <col min="20" max="20" width="34" style="53" hidden="1" customWidth="1"/>
    <col min="21" max="21" width="41.875" style="53" hidden="1" customWidth="1"/>
    <col min="22" max="22" width="22.75" style="53" hidden="1" customWidth="1"/>
    <col min="23" max="23" width="27.5" style="53" hidden="1" customWidth="1"/>
    <col min="24" max="24" width="29.125" style="53" hidden="1" customWidth="1"/>
    <col min="25" max="25" width="46.375" style="53" hidden="1" customWidth="1"/>
    <col min="26" max="26" width="17.25" style="53" customWidth="1"/>
    <col min="27" max="27" width="45.125" style="53" customWidth="1"/>
    <col min="28" max="28" width="30.875" style="53" customWidth="1"/>
    <col min="29" max="16384" width="9" style="53"/>
  </cols>
  <sheetData>
    <row r="1" spans="1:15" s="62" customFormat="1" ht="23.25" thickBot="1" x14ac:dyDescent="0.3">
      <c r="A1" s="135" t="s">
        <v>90</v>
      </c>
      <c r="B1" s="136"/>
      <c r="C1" s="136"/>
      <c r="D1" s="137"/>
      <c r="E1" s="53"/>
      <c r="G1" s="63"/>
      <c r="H1" s="63"/>
      <c r="I1" s="63"/>
      <c r="J1" s="63"/>
      <c r="K1" s="63"/>
      <c r="L1" s="63"/>
      <c r="M1" s="63"/>
      <c r="N1" s="63"/>
      <c r="O1" s="63"/>
    </row>
    <row r="2" spans="1:15" s="62" customFormat="1" ht="23.25" thickBot="1" x14ac:dyDescent="0.3">
      <c r="A2" s="135" t="s">
        <v>53</v>
      </c>
      <c r="B2" s="136"/>
      <c r="C2" s="136"/>
      <c r="D2" s="137"/>
      <c r="E2" s="53"/>
      <c r="G2" s="63"/>
      <c r="H2" s="63"/>
      <c r="I2" s="63"/>
      <c r="J2" s="63"/>
      <c r="K2" s="63"/>
      <c r="L2" s="63"/>
      <c r="M2" s="63"/>
      <c r="N2" s="63"/>
      <c r="O2" s="63"/>
    </row>
    <row r="3" spans="1:15" s="62" customFormat="1" ht="18.75" x14ac:dyDescent="0.3">
      <c r="A3" s="13"/>
      <c r="B3" s="1"/>
      <c r="C3" s="2"/>
      <c r="D3" s="89" t="s">
        <v>68</v>
      </c>
      <c r="E3" s="53"/>
      <c r="G3" s="63"/>
      <c r="H3" s="63"/>
      <c r="I3" s="63"/>
      <c r="J3" s="63"/>
      <c r="K3" s="63"/>
      <c r="L3" s="63"/>
      <c r="M3" s="63"/>
      <c r="N3" s="63"/>
      <c r="O3" s="63"/>
    </row>
    <row r="4" spans="1:15" s="62" customFormat="1" ht="15" customHeight="1" x14ac:dyDescent="0.25">
      <c r="A4" s="88" t="s">
        <v>32</v>
      </c>
      <c r="B4" s="21" t="s">
        <v>0</v>
      </c>
      <c r="C4" s="21"/>
      <c r="D4" s="70"/>
      <c r="E4" s="53"/>
      <c r="G4" s="63"/>
      <c r="H4" s="63"/>
      <c r="I4" s="63"/>
      <c r="J4" s="63"/>
      <c r="K4" s="63"/>
      <c r="L4" s="63"/>
      <c r="M4" s="63"/>
      <c r="N4" s="63"/>
      <c r="O4" s="63"/>
    </row>
    <row r="5" spans="1:15" s="62" customFormat="1" ht="15" x14ac:dyDescent="0.25">
      <c r="A5" s="88" t="s">
        <v>33</v>
      </c>
      <c r="B5" s="21" t="s">
        <v>66</v>
      </c>
      <c r="C5" s="21"/>
      <c r="D5" s="70"/>
      <c r="E5" s="53"/>
      <c r="F5" s="53"/>
      <c r="I5" s="63"/>
      <c r="J5" s="63"/>
      <c r="K5" s="63"/>
      <c r="L5" s="63"/>
      <c r="M5" s="63"/>
      <c r="N5" s="63"/>
      <c r="O5" s="63"/>
    </row>
    <row r="6" spans="1:15" s="62" customFormat="1" ht="15.75" x14ac:dyDescent="0.25">
      <c r="A6" s="14"/>
      <c r="B6" s="1"/>
      <c r="C6" s="1"/>
      <c r="D6" s="3"/>
      <c r="E6" s="53"/>
      <c r="F6" s="53"/>
      <c r="I6" s="63"/>
      <c r="J6" s="63"/>
      <c r="K6" s="63"/>
      <c r="L6" s="63"/>
      <c r="M6" s="63"/>
      <c r="N6" s="63"/>
      <c r="O6" s="63"/>
    </row>
    <row r="7" spans="1:15" s="62" customFormat="1" ht="15" x14ac:dyDescent="0.25">
      <c r="A7" s="151">
        <v>43922</v>
      </c>
      <c r="B7" s="21" t="s">
        <v>1</v>
      </c>
      <c r="C7" s="21"/>
      <c r="D7" s="3"/>
      <c r="E7" s="53"/>
      <c r="F7" s="53"/>
      <c r="I7" s="63"/>
      <c r="J7" s="63"/>
      <c r="K7" s="63"/>
      <c r="L7" s="63"/>
      <c r="M7" s="63"/>
      <c r="N7" s="63"/>
      <c r="O7" s="63"/>
    </row>
    <row r="8" spans="1:15" s="62" customFormat="1" ht="15" x14ac:dyDescent="0.25">
      <c r="A8" s="152">
        <f>DATEDIF(A7,(DATE(2023,4,1)),"Y")</f>
        <v>3</v>
      </c>
      <c r="B8" s="21" t="s">
        <v>2</v>
      </c>
      <c r="C8" s="1"/>
      <c r="D8" s="24"/>
      <c r="E8" s="53"/>
      <c r="G8" s="63"/>
      <c r="H8" s="63"/>
      <c r="I8" s="63"/>
      <c r="J8" s="63"/>
      <c r="K8" s="63"/>
      <c r="L8" s="63"/>
      <c r="M8" s="63"/>
      <c r="N8" s="63"/>
      <c r="O8" s="63"/>
    </row>
    <row r="9" spans="1:15" s="62" customFormat="1" ht="15" x14ac:dyDescent="0.25">
      <c r="A9" s="15"/>
      <c r="B9" s="22"/>
      <c r="C9" s="22"/>
      <c r="D9" s="24"/>
      <c r="E9" s="53"/>
      <c r="G9" s="63"/>
      <c r="H9" s="63"/>
      <c r="I9" s="63"/>
      <c r="J9" s="63"/>
      <c r="K9" s="63"/>
      <c r="L9" s="63"/>
      <c r="M9" s="63"/>
      <c r="N9" s="63"/>
      <c r="O9" s="63"/>
    </row>
    <row r="10" spans="1:15" s="62" customFormat="1" ht="18.75" x14ac:dyDescent="0.3">
      <c r="A10" s="16" t="s">
        <v>3</v>
      </c>
      <c r="B10" s="78">
        <v>0</v>
      </c>
      <c r="C10" s="37"/>
      <c r="D10" s="36">
        <f>B10</f>
        <v>0</v>
      </c>
      <c r="E10" s="53"/>
      <c r="G10" s="63"/>
      <c r="H10" s="63"/>
      <c r="I10" s="63"/>
      <c r="J10" s="63"/>
      <c r="K10" s="63"/>
      <c r="L10" s="63"/>
      <c r="M10" s="63"/>
      <c r="N10" s="63"/>
      <c r="O10" s="63"/>
    </row>
    <row r="11" spans="1:15" s="62" customFormat="1" ht="15.75" x14ac:dyDescent="0.25">
      <c r="A11" s="28" t="s">
        <v>4</v>
      </c>
      <c r="B11" s="38"/>
      <c r="C11" s="39"/>
      <c r="D11" s="36">
        <f>-SUM(C12+C17+C18+C19)</f>
        <v>0</v>
      </c>
      <c r="E11" s="53"/>
      <c r="G11" s="63"/>
      <c r="H11" s="63"/>
      <c r="I11" s="63"/>
      <c r="J11" s="63"/>
      <c r="K11" s="63"/>
      <c r="L11" s="63"/>
      <c r="M11" s="63"/>
      <c r="N11" s="63"/>
      <c r="O11" s="63"/>
    </row>
    <row r="12" spans="1:15" s="62" customFormat="1" ht="15.75" x14ac:dyDescent="0.25">
      <c r="A12" s="28" t="s">
        <v>38</v>
      </c>
      <c r="B12" s="22"/>
      <c r="C12" s="8">
        <f>MAX(MIN(C14:C16),0)</f>
        <v>0</v>
      </c>
      <c r="D12" s="47"/>
      <c r="E12" s="53"/>
      <c r="G12" s="63"/>
      <c r="H12" s="63"/>
      <c r="I12" s="63"/>
      <c r="J12" s="63"/>
      <c r="K12" s="63"/>
      <c r="L12" s="63"/>
      <c r="M12" s="63"/>
      <c r="N12" s="63"/>
      <c r="O12" s="63"/>
    </row>
    <row r="13" spans="1:15" s="62" customFormat="1" ht="15.75" x14ac:dyDescent="0.25">
      <c r="A13" s="26" t="s">
        <v>24</v>
      </c>
      <c r="B13" s="79"/>
      <c r="C13" s="49"/>
      <c r="D13" s="24"/>
      <c r="E13" s="53"/>
      <c r="G13" s="63"/>
      <c r="H13" s="63"/>
      <c r="I13" s="63"/>
      <c r="J13" s="63"/>
      <c r="K13" s="63"/>
      <c r="L13" s="63"/>
      <c r="M13" s="63"/>
      <c r="N13" s="63"/>
      <c r="O13" s="63"/>
    </row>
    <row r="14" spans="1:15" s="62" customFormat="1" ht="15.75" x14ac:dyDescent="0.25">
      <c r="A14" s="26" t="s">
        <v>29</v>
      </c>
      <c r="B14" s="80">
        <v>0</v>
      </c>
      <c r="C14" s="5">
        <f>IF(B13="metro",B14*0.5,B14*0.4)</f>
        <v>0</v>
      </c>
      <c r="D14" s="40"/>
      <c r="E14" s="53"/>
      <c r="G14" s="63"/>
      <c r="H14" s="63"/>
      <c r="I14" s="63"/>
      <c r="J14" s="63"/>
      <c r="K14" s="63"/>
      <c r="L14" s="63"/>
      <c r="M14" s="63"/>
      <c r="N14" s="63"/>
      <c r="O14" s="63"/>
    </row>
    <row r="15" spans="1:15" s="62" customFormat="1" ht="15.75" x14ac:dyDescent="0.25">
      <c r="A15" s="27" t="s">
        <v>5</v>
      </c>
      <c r="B15" s="80">
        <v>0</v>
      </c>
      <c r="C15" s="5">
        <f>B15-(B14*0.1)</f>
        <v>0</v>
      </c>
      <c r="D15" s="40"/>
      <c r="E15" s="53"/>
      <c r="G15" s="63"/>
      <c r="H15" s="63"/>
      <c r="I15" s="63"/>
      <c r="J15" s="63"/>
      <c r="K15" s="63"/>
      <c r="L15" s="63"/>
      <c r="M15" s="63"/>
      <c r="N15" s="63"/>
      <c r="O15" s="63"/>
    </row>
    <row r="16" spans="1:15" s="62" customFormat="1" ht="15.75" x14ac:dyDescent="0.25">
      <c r="A16" s="27" t="s">
        <v>25</v>
      </c>
      <c r="B16" s="80">
        <v>0</v>
      </c>
      <c r="C16" s="41">
        <f>+B16</f>
        <v>0</v>
      </c>
      <c r="D16" s="40"/>
      <c r="E16" s="53"/>
      <c r="G16" s="63"/>
      <c r="H16" s="63"/>
      <c r="I16" s="63"/>
      <c r="J16" s="63"/>
      <c r="K16" s="63"/>
      <c r="L16" s="63"/>
      <c r="M16" s="63"/>
      <c r="N16" s="63"/>
      <c r="O16" s="63"/>
    </row>
    <row r="17" spans="1:15" s="62" customFormat="1" ht="15.75" x14ac:dyDescent="0.25">
      <c r="A17" s="28" t="s">
        <v>57</v>
      </c>
      <c r="B17" s="79" t="s">
        <v>91</v>
      </c>
      <c r="C17" s="42">
        <f>IF(B17="No",0,IF(B10&gt;50000,MAX(MIN(B17,50000),0),B10))</f>
        <v>0</v>
      </c>
      <c r="D17" s="40"/>
      <c r="E17" s="53"/>
      <c r="G17" s="63"/>
      <c r="H17" s="63"/>
      <c r="I17" s="63"/>
      <c r="J17" s="63"/>
      <c r="K17" s="63"/>
      <c r="L17" s="63"/>
      <c r="M17" s="63"/>
      <c r="N17" s="63"/>
      <c r="O17" s="63"/>
    </row>
    <row r="18" spans="1:15" s="62" customFormat="1" ht="15.75" x14ac:dyDescent="0.25">
      <c r="A18" s="28" t="s">
        <v>7</v>
      </c>
      <c r="B18" s="80">
        <v>0</v>
      </c>
      <c r="C18" s="43">
        <f>+B18</f>
        <v>0</v>
      </c>
      <c r="D18" s="40"/>
      <c r="E18" s="53"/>
      <c r="G18" s="63"/>
      <c r="H18" s="63"/>
      <c r="I18" s="63"/>
      <c r="J18" s="63"/>
      <c r="K18" s="63"/>
      <c r="L18" s="63"/>
      <c r="M18" s="63"/>
      <c r="N18" s="63"/>
      <c r="O18" s="63"/>
    </row>
    <row r="19" spans="1:15" s="62" customFormat="1" ht="15.75" x14ac:dyDescent="0.25">
      <c r="A19" s="28" t="s">
        <v>6</v>
      </c>
      <c r="B19" s="81">
        <v>0</v>
      </c>
      <c r="C19" s="6">
        <f>+B19</f>
        <v>0</v>
      </c>
      <c r="D19" s="40"/>
      <c r="E19" s="53"/>
      <c r="G19" s="63"/>
      <c r="H19" s="63"/>
      <c r="I19" s="63"/>
      <c r="J19" s="63"/>
      <c r="K19" s="63"/>
      <c r="L19" s="63"/>
      <c r="M19" s="63"/>
      <c r="N19" s="63"/>
      <c r="O19" s="63"/>
    </row>
    <row r="20" spans="1:15" s="62" customFormat="1" ht="18.75" x14ac:dyDescent="0.3">
      <c r="A20" s="16" t="s">
        <v>34</v>
      </c>
      <c r="B20" s="38"/>
      <c r="C20" s="44"/>
      <c r="D20" s="36">
        <f>SUM(D10+D11,0)</f>
        <v>0</v>
      </c>
      <c r="E20" s="53"/>
      <c r="G20" s="63"/>
      <c r="H20" s="63"/>
      <c r="I20" s="63"/>
      <c r="J20" s="63"/>
      <c r="K20" s="63"/>
      <c r="L20" s="63"/>
      <c r="M20" s="63"/>
      <c r="N20" s="63"/>
      <c r="O20" s="63"/>
    </row>
    <row r="21" spans="1:15" s="62" customFormat="1" ht="18.75" x14ac:dyDescent="0.3">
      <c r="A21" s="16" t="s">
        <v>51</v>
      </c>
      <c r="B21" s="38"/>
      <c r="C21" s="7">
        <f>SUM(B23:B26)</f>
        <v>0</v>
      </c>
      <c r="D21" s="36">
        <f>+C21</f>
        <v>0</v>
      </c>
      <c r="E21" s="53"/>
      <c r="G21" s="63"/>
      <c r="H21" s="63"/>
      <c r="I21" s="63"/>
      <c r="J21" s="63"/>
      <c r="K21" s="63"/>
      <c r="L21" s="63"/>
      <c r="M21" s="63"/>
      <c r="N21" s="63"/>
      <c r="O21" s="63"/>
    </row>
    <row r="22" spans="1:15" s="62" customFormat="1" ht="15.75" x14ac:dyDescent="0.25">
      <c r="A22" s="28" t="s">
        <v>23</v>
      </c>
      <c r="B22" s="38"/>
      <c r="C22" s="38"/>
      <c r="D22" s="40"/>
      <c r="E22" s="53"/>
      <c r="G22" s="63"/>
      <c r="H22" s="63"/>
      <c r="I22" s="63"/>
      <c r="J22" s="63"/>
      <c r="K22" s="63"/>
      <c r="L22" s="63"/>
      <c r="M22" s="63"/>
      <c r="N22" s="63"/>
      <c r="O22" s="63"/>
    </row>
    <row r="23" spans="1:15" s="62" customFormat="1" ht="15.75" x14ac:dyDescent="0.25">
      <c r="A23" s="27" t="s">
        <v>40</v>
      </c>
      <c r="B23" s="82">
        <v>0</v>
      </c>
      <c r="C23" s="38"/>
      <c r="D23" s="40"/>
      <c r="E23" s="53"/>
      <c r="G23" s="63"/>
      <c r="H23" s="63"/>
      <c r="I23" s="63"/>
      <c r="J23" s="63"/>
      <c r="K23" s="63"/>
      <c r="L23" s="63"/>
      <c r="M23" s="63"/>
      <c r="N23" s="63"/>
      <c r="O23" s="63"/>
    </row>
    <row r="24" spans="1:15" s="62" customFormat="1" ht="15.75" x14ac:dyDescent="0.25">
      <c r="A24" s="27" t="s">
        <v>41</v>
      </c>
      <c r="B24" s="82">
        <v>0</v>
      </c>
      <c r="C24" s="38"/>
      <c r="D24" s="40"/>
      <c r="E24" s="53"/>
      <c r="G24" s="63"/>
      <c r="H24" s="63"/>
      <c r="I24" s="63"/>
      <c r="J24" s="63"/>
      <c r="K24" s="63"/>
      <c r="L24" s="63"/>
      <c r="M24" s="63"/>
      <c r="N24" s="63"/>
      <c r="O24" s="63"/>
    </row>
    <row r="25" spans="1:15" s="62" customFormat="1" ht="15.75" x14ac:dyDescent="0.25">
      <c r="A25" s="27" t="s">
        <v>26</v>
      </c>
      <c r="B25" s="82">
        <v>0</v>
      </c>
      <c r="C25" s="38"/>
      <c r="D25" s="40"/>
      <c r="E25" s="53"/>
      <c r="G25" s="63"/>
      <c r="H25" s="63"/>
      <c r="I25" s="63"/>
      <c r="J25" s="63"/>
      <c r="K25" s="63"/>
      <c r="L25" s="63"/>
      <c r="M25" s="63"/>
      <c r="N25" s="63"/>
      <c r="O25" s="63"/>
    </row>
    <row r="26" spans="1:15" s="62" customFormat="1" ht="15.75" x14ac:dyDescent="0.25">
      <c r="A26" s="28" t="s">
        <v>8</v>
      </c>
      <c r="B26" s="82">
        <v>0</v>
      </c>
      <c r="C26" s="38"/>
      <c r="D26" s="40"/>
      <c r="E26" s="53"/>
      <c r="G26" s="63"/>
      <c r="H26" s="63"/>
      <c r="I26" s="63"/>
      <c r="J26" s="63"/>
      <c r="K26" s="63"/>
      <c r="L26" s="63"/>
      <c r="M26" s="63"/>
      <c r="N26" s="63"/>
      <c r="O26" s="63"/>
    </row>
    <row r="27" spans="1:15" s="62" customFormat="1" ht="18.75" x14ac:dyDescent="0.3">
      <c r="A27" s="16" t="s">
        <v>75</v>
      </c>
      <c r="B27" s="82">
        <v>0</v>
      </c>
      <c r="C27" s="38"/>
      <c r="D27" s="36">
        <f>B27</f>
        <v>0</v>
      </c>
      <c r="E27" s="53"/>
      <c r="G27" s="63"/>
      <c r="H27" s="63"/>
      <c r="I27" s="63"/>
      <c r="J27" s="63"/>
      <c r="K27" s="63"/>
      <c r="L27" s="63"/>
      <c r="M27" s="63"/>
      <c r="N27" s="63"/>
      <c r="O27" s="63"/>
    </row>
    <row r="28" spans="1:15" s="62" customFormat="1" ht="18.75" x14ac:dyDescent="0.3">
      <c r="A28" s="16" t="s">
        <v>39</v>
      </c>
      <c r="B28" s="38"/>
      <c r="C28" s="38"/>
      <c r="D28" s="36">
        <f>SUM(C29:C32)</f>
        <v>0</v>
      </c>
      <c r="E28" s="53"/>
      <c r="G28" s="63"/>
      <c r="H28" s="63"/>
      <c r="I28" s="63"/>
      <c r="J28" s="63"/>
      <c r="K28" s="63"/>
      <c r="L28" s="63"/>
      <c r="M28" s="63"/>
      <c r="N28" s="63"/>
      <c r="O28" s="63"/>
    </row>
    <row r="29" spans="1:15" s="62" customFormat="1" ht="15.75" x14ac:dyDescent="0.25">
      <c r="A29" s="27" t="s">
        <v>77</v>
      </c>
      <c r="B29" s="82">
        <v>0</v>
      </c>
      <c r="C29" s="6">
        <f>-IF(B29&gt;200000,200000,B29)</f>
        <v>0</v>
      </c>
      <c r="D29" s="45"/>
      <c r="E29" s="53"/>
      <c r="G29" s="63"/>
      <c r="H29" s="63"/>
      <c r="I29" s="63"/>
      <c r="J29" s="63"/>
      <c r="K29" s="63"/>
      <c r="L29" s="63"/>
      <c r="M29" s="63"/>
      <c r="N29" s="63"/>
      <c r="O29" s="63"/>
    </row>
    <row r="30" spans="1:15" s="62" customFormat="1" ht="15.75" x14ac:dyDescent="0.25">
      <c r="A30" s="27" t="s">
        <v>78</v>
      </c>
      <c r="B30" s="82">
        <v>0</v>
      </c>
      <c r="C30" s="6">
        <f>-B30</f>
        <v>0</v>
      </c>
      <c r="D30" s="45"/>
      <c r="E30" s="53"/>
      <c r="G30" s="63"/>
      <c r="H30" s="63"/>
      <c r="I30" s="63"/>
      <c r="J30" s="63"/>
      <c r="K30" s="63"/>
      <c r="L30" s="63"/>
      <c r="M30" s="63"/>
      <c r="N30" s="63"/>
      <c r="O30" s="63"/>
    </row>
    <row r="31" spans="1:15" s="62" customFormat="1" ht="15.75" x14ac:dyDescent="0.25">
      <c r="A31" s="27" t="s">
        <v>76</v>
      </c>
      <c r="B31" s="82">
        <v>0</v>
      </c>
      <c r="C31" s="6">
        <f>-IF(B31&gt;50000,50000,B31)</f>
        <v>0</v>
      </c>
      <c r="D31" s="45"/>
      <c r="E31" s="53"/>
      <c r="G31" s="63"/>
      <c r="H31" s="63"/>
      <c r="I31" s="63"/>
      <c r="J31" s="63"/>
      <c r="K31" s="63"/>
      <c r="L31" s="63"/>
      <c r="M31" s="63"/>
      <c r="N31" s="63"/>
      <c r="O31" s="63"/>
    </row>
    <row r="32" spans="1:15" s="62" customFormat="1" ht="15.75" x14ac:dyDescent="0.25">
      <c r="A32" s="27" t="s">
        <v>79</v>
      </c>
      <c r="B32" s="82">
        <v>0</v>
      </c>
      <c r="C32" s="6">
        <f>+B32*70%</f>
        <v>0</v>
      </c>
      <c r="D32" s="45"/>
      <c r="E32" s="53"/>
      <c r="G32" s="63"/>
      <c r="H32" s="63"/>
      <c r="I32" s="63"/>
      <c r="J32" s="63"/>
      <c r="K32" s="63"/>
      <c r="L32" s="63"/>
      <c r="M32" s="63"/>
      <c r="N32" s="63"/>
      <c r="O32" s="63"/>
    </row>
    <row r="33" spans="1:15" s="62" customFormat="1" ht="18.75" x14ac:dyDescent="0.3">
      <c r="A33" s="16" t="s">
        <v>9</v>
      </c>
      <c r="B33" s="23"/>
      <c r="C33" s="23"/>
      <c r="D33" s="36">
        <f>SUM(D20,D21,D27,D28)</f>
        <v>0</v>
      </c>
      <c r="E33" s="53"/>
      <c r="G33" s="63"/>
      <c r="H33" s="63"/>
      <c r="I33" s="63"/>
      <c r="J33" s="63"/>
      <c r="K33" s="63"/>
      <c r="L33" s="63"/>
      <c r="M33" s="63"/>
      <c r="N33" s="63"/>
      <c r="O33" s="63"/>
    </row>
    <row r="34" spans="1:15" s="62" customFormat="1" ht="15.75" x14ac:dyDescent="0.25">
      <c r="A34" s="17" t="s">
        <v>27</v>
      </c>
      <c r="B34" s="38"/>
      <c r="C34" s="38"/>
      <c r="D34" s="45"/>
      <c r="E34" s="53"/>
      <c r="G34" s="63"/>
      <c r="H34" s="63"/>
      <c r="I34" s="63"/>
      <c r="J34" s="63"/>
      <c r="K34" s="63"/>
      <c r="L34" s="63"/>
      <c r="M34" s="63"/>
      <c r="N34" s="63"/>
      <c r="O34" s="63"/>
    </row>
    <row r="35" spans="1:15" s="62" customFormat="1" ht="15.75" x14ac:dyDescent="0.25">
      <c r="A35" s="27" t="s">
        <v>13</v>
      </c>
      <c r="B35" s="83">
        <v>0</v>
      </c>
      <c r="C35" s="8">
        <f>IF(SUM(B35:B46)&gt;150001,150000,SUM(B35:B46))</f>
        <v>0</v>
      </c>
      <c r="D35" s="36">
        <f>-C35</f>
        <v>0</v>
      </c>
      <c r="E35" s="53"/>
      <c r="G35" s="63"/>
      <c r="H35" s="63"/>
      <c r="I35" s="63"/>
      <c r="J35" s="63"/>
      <c r="K35" s="63"/>
      <c r="L35" s="63"/>
      <c r="M35" s="63"/>
      <c r="N35" s="63"/>
      <c r="O35" s="63"/>
    </row>
    <row r="36" spans="1:15" s="62" customFormat="1" ht="15.75" x14ac:dyDescent="0.25">
      <c r="A36" s="27" t="s">
        <v>10</v>
      </c>
      <c r="B36" s="84">
        <v>0</v>
      </c>
      <c r="C36" s="38"/>
      <c r="D36" s="45"/>
      <c r="E36" s="53"/>
      <c r="G36" s="63"/>
      <c r="H36" s="63"/>
      <c r="I36" s="63"/>
      <c r="J36" s="63"/>
      <c r="K36" s="63"/>
      <c r="L36" s="63"/>
      <c r="M36" s="63"/>
      <c r="N36" s="63"/>
      <c r="O36" s="63"/>
    </row>
    <row r="37" spans="1:15" s="62" customFormat="1" ht="15.75" x14ac:dyDescent="0.25">
      <c r="A37" s="27" t="s">
        <v>35</v>
      </c>
      <c r="B37" s="84">
        <v>0</v>
      </c>
      <c r="C37" s="38"/>
      <c r="D37" s="45"/>
      <c r="E37" s="53"/>
      <c r="G37" s="63"/>
      <c r="H37" s="63"/>
      <c r="I37" s="63"/>
      <c r="J37" s="63"/>
      <c r="K37" s="63"/>
      <c r="L37" s="63"/>
      <c r="M37" s="63"/>
      <c r="N37" s="63"/>
      <c r="O37" s="63"/>
    </row>
    <row r="38" spans="1:15" s="62" customFormat="1" ht="15.75" x14ac:dyDescent="0.25">
      <c r="A38" s="27" t="s">
        <v>11</v>
      </c>
      <c r="B38" s="84">
        <v>0</v>
      </c>
      <c r="C38" s="38"/>
      <c r="D38" s="45"/>
      <c r="E38" s="53"/>
      <c r="G38" s="63"/>
      <c r="H38" s="63"/>
      <c r="I38" s="63"/>
      <c r="J38" s="63"/>
      <c r="K38" s="63"/>
      <c r="L38" s="63"/>
      <c r="M38" s="63"/>
      <c r="N38" s="63"/>
      <c r="O38" s="63"/>
    </row>
    <row r="39" spans="1:15" s="62" customFormat="1" ht="15.75" x14ac:dyDescent="0.25">
      <c r="A39" s="27" t="s">
        <v>37</v>
      </c>
      <c r="B39" s="84">
        <v>0</v>
      </c>
      <c r="C39" s="38"/>
      <c r="D39" s="45"/>
      <c r="E39" s="53"/>
      <c r="G39" s="63"/>
      <c r="H39" s="63"/>
      <c r="I39" s="63"/>
      <c r="J39" s="63"/>
      <c r="K39" s="63"/>
      <c r="L39" s="63"/>
      <c r="M39" s="63"/>
      <c r="N39" s="63"/>
      <c r="O39" s="63"/>
    </row>
    <row r="40" spans="1:15" s="62" customFormat="1" ht="15.75" x14ac:dyDescent="0.25">
      <c r="A40" s="27" t="s">
        <v>36</v>
      </c>
      <c r="B40" s="84">
        <v>0</v>
      </c>
      <c r="C40" s="38"/>
      <c r="D40" s="45"/>
      <c r="E40" s="53"/>
      <c r="G40" s="63"/>
      <c r="H40" s="63"/>
      <c r="I40" s="63"/>
      <c r="J40" s="63"/>
      <c r="K40" s="63"/>
      <c r="L40" s="63"/>
      <c r="M40" s="63"/>
      <c r="N40" s="63"/>
      <c r="O40" s="63"/>
    </row>
    <row r="41" spans="1:15" s="62" customFormat="1" ht="15.75" x14ac:dyDescent="0.25">
      <c r="A41" s="27" t="s">
        <v>50</v>
      </c>
      <c r="B41" s="84">
        <v>0</v>
      </c>
      <c r="C41" s="38"/>
      <c r="D41" s="45"/>
      <c r="E41" s="53"/>
      <c r="G41" s="63"/>
      <c r="H41" s="63"/>
      <c r="I41" s="63"/>
      <c r="J41" s="63"/>
      <c r="K41" s="63"/>
      <c r="L41" s="63"/>
      <c r="M41" s="63"/>
      <c r="N41" s="63"/>
      <c r="O41" s="63"/>
    </row>
    <row r="42" spans="1:15" s="62" customFormat="1" ht="15.75" x14ac:dyDescent="0.25">
      <c r="A42" s="27" t="s">
        <v>18</v>
      </c>
      <c r="B42" s="84">
        <v>0</v>
      </c>
      <c r="C42" s="38"/>
      <c r="D42" s="45"/>
      <c r="E42" s="53"/>
      <c r="G42" s="63"/>
      <c r="H42" s="63"/>
      <c r="I42" s="63"/>
      <c r="J42" s="63"/>
      <c r="K42" s="63"/>
      <c r="L42" s="63"/>
      <c r="M42" s="63"/>
      <c r="N42" s="63"/>
      <c r="O42" s="63"/>
    </row>
    <row r="43" spans="1:15" s="62" customFormat="1" ht="15.75" x14ac:dyDescent="0.25">
      <c r="A43" s="27" t="s">
        <v>12</v>
      </c>
      <c r="B43" s="84">
        <v>0</v>
      </c>
      <c r="C43" s="38"/>
      <c r="D43" s="45"/>
      <c r="E43" s="53"/>
      <c r="G43" s="63"/>
      <c r="H43" s="63"/>
      <c r="I43" s="63"/>
      <c r="J43" s="63"/>
      <c r="K43" s="63"/>
      <c r="L43" s="63"/>
      <c r="M43" s="63"/>
      <c r="N43" s="63"/>
      <c r="O43" s="63"/>
    </row>
    <row r="44" spans="1:15" s="62" customFormat="1" ht="15.75" x14ac:dyDescent="0.25">
      <c r="A44" s="27" t="s">
        <v>14</v>
      </c>
      <c r="B44" s="84">
        <v>0</v>
      </c>
      <c r="C44" s="38"/>
      <c r="D44" s="45"/>
      <c r="E44" s="53"/>
      <c r="G44" s="63"/>
      <c r="H44" s="63"/>
      <c r="I44" s="63"/>
      <c r="J44" s="63"/>
      <c r="K44" s="63"/>
      <c r="L44" s="63"/>
      <c r="M44" s="63"/>
      <c r="N44" s="63"/>
      <c r="O44" s="63"/>
    </row>
    <row r="45" spans="1:15" s="62" customFormat="1" ht="15.75" x14ac:dyDescent="0.25">
      <c r="A45" s="27" t="s">
        <v>71</v>
      </c>
      <c r="B45" s="84">
        <v>0</v>
      </c>
      <c r="C45" s="38"/>
      <c r="D45" s="45"/>
      <c r="E45" s="53"/>
      <c r="G45" s="63"/>
      <c r="H45" s="63"/>
      <c r="I45" s="63"/>
      <c r="J45" s="63"/>
      <c r="K45" s="63"/>
      <c r="L45" s="63"/>
      <c r="M45" s="63"/>
      <c r="N45" s="63"/>
      <c r="O45" s="63"/>
    </row>
    <row r="46" spans="1:15" s="62" customFormat="1" ht="15.75" x14ac:dyDescent="0.25">
      <c r="A46" s="27" t="s">
        <v>72</v>
      </c>
      <c r="B46" s="84">
        <v>0</v>
      </c>
      <c r="C46" s="38"/>
      <c r="D46" s="45"/>
      <c r="E46" s="53"/>
      <c r="G46" s="63"/>
      <c r="H46" s="63"/>
      <c r="I46" s="63"/>
      <c r="J46" s="63"/>
      <c r="K46" s="63"/>
      <c r="L46" s="63"/>
      <c r="M46" s="63"/>
      <c r="N46" s="63"/>
      <c r="O46" s="63"/>
    </row>
    <row r="47" spans="1:15" s="62" customFormat="1" ht="15.75" x14ac:dyDescent="0.25">
      <c r="A47" s="18" t="s">
        <v>28</v>
      </c>
      <c r="B47" s="85">
        <v>0</v>
      </c>
      <c r="C47" s="38"/>
      <c r="D47" s="36">
        <f>-IF(B47&gt;50000,50000,B47)</f>
        <v>0</v>
      </c>
      <c r="E47" s="53"/>
      <c r="G47" s="63"/>
      <c r="H47" s="63"/>
      <c r="I47" s="63"/>
      <c r="J47" s="63"/>
      <c r="K47" s="63"/>
      <c r="L47" s="63"/>
      <c r="M47" s="63"/>
      <c r="N47" s="63"/>
      <c r="O47" s="63"/>
    </row>
    <row r="48" spans="1:15" s="62" customFormat="1" ht="15.75" x14ac:dyDescent="0.25">
      <c r="A48" s="17" t="s">
        <v>73</v>
      </c>
      <c r="B48" s="38"/>
      <c r="C48" s="38"/>
      <c r="D48" s="36">
        <f>-SUM(C49:C57)</f>
        <v>0</v>
      </c>
      <c r="E48" s="53"/>
      <c r="G48" s="63"/>
      <c r="H48" s="63"/>
      <c r="I48" s="63"/>
      <c r="J48" s="63"/>
      <c r="K48" s="63"/>
      <c r="L48" s="63"/>
      <c r="M48" s="63"/>
      <c r="N48" s="63"/>
      <c r="O48" s="63"/>
    </row>
    <row r="49" spans="1:15" s="62" customFormat="1" ht="15.75" x14ac:dyDescent="0.25">
      <c r="A49" s="27" t="s">
        <v>42</v>
      </c>
      <c r="B49" s="82">
        <v>0</v>
      </c>
      <c r="C49" s="6">
        <f>IF(A8&gt;=60,IF(B49&gt;50000,50000,B49),IF(B49&gt;25000,25000,B49))</f>
        <v>0</v>
      </c>
      <c r="D49" s="45"/>
      <c r="E49" s="53"/>
      <c r="G49" s="63"/>
      <c r="H49" s="63"/>
      <c r="I49" s="63"/>
      <c r="J49" s="63"/>
      <c r="K49" s="63"/>
      <c r="L49" s="63"/>
      <c r="M49" s="63"/>
      <c r="N49" s="63"/>
      <c r="O49" s="63"/>
    </row>
    <row r="50" spans="1:15" s="62" customFormat="1" ht="15.75" x14ac:dyDescent="0.25">
      <c r="A50" s="27" t="s">
        <v>43</v>
      </c>
      <c r="B50" s="82">
        <v>0</v>
      </c>
      <c r="C50" s="6">
        <f>IF(B50&gt;50000,50000,B50)</f>
        <v>0</v>
      </c>
      <c r="D50" s="45"/>
      <c r="E50" s="53"/>
      <c r="G50" s="63"/>
      <c r="H50" s="63"/>
      <c r="I50" s="63"/>
      <c r="J50" s="63"/>
      <c r="K50" s="63"/>
      <c r="L50" s="63"/>
      <c r="M50" s="63"/>
      <c r="N50" s="63"/>
      <c r="O50" s="63"/>
    </row>
    <row r="51" spans="1:15" s="62" customFormat="1" ht="15.75" x14ac:dyDescent="0.25">
      <c r="A51" s="27" t="s">
        <v>44</v>
      </c>
      <c r="B51" s="82">
        <v>0</v>
      </c>
      <c r="C51" s="6">
        <f>+B51</f>
        <v>0</v>
      </c>
      <c r="D51" s="45"/>
      <c r="E51" s="53"/>
      <c r="G51" s="63"/>
      <c r="H51" s="63"/>
      <c r="I51" s="63"/>
      <c r="J51" s="63"/>
      <c r="K51" s="63"/>
      <c r="L51" s="63"/>
      <c r="M51" s="63"/>
      <c r="N51" s="63"/>
      <c r="O51" s="63"/>
    </row>
    <row r="52" spans="1:15" s="62" customFormat="1" ht="15.75" x14ac:dyDescent="0.25">
      <c r="A52" s="27" t="s">
        <v>45</v>
      </c>
      <c r="B52" s="82">
        <v>0</v>
      </c>
      <c r="C52" s="6">
        <f>IF(B52&gt;125000,125000,B52)</f>
        <v>0</v>
      </c>
      <c r="D52" s="45"/>
      <c r="E52" s="53"/>
      <c r="G52" s="63"/>
      <c r="H52" s="63"/>
      <c r="I52" s="63"/>
      <c r="J52" s="63"/>
      <c r="K52" s="63"/>
      <c r="L52" s="63"/>
      <c r="M52" s="63"/>
      <c r="N52" s="63"/>
      <c r="O52" s="63"/>
    </row>
    <row r="53" spans="1:15" s="62" customFormat="1" ht="15.75" x14ac:dyDescent="0.25">
      <c r="A53" s="27" t="s">
        <v>46</v>
      </c>
      <c r="B53" s="82">
        <v>0</v>
      </c>
      <c r="C53" s="6">
        <f>IF(A8&gt;=60,IF(B53&gt;100000,100000,B53),IF(B53&gt;40000,40000,B53))</f>
        <v>0</v>
      </c>
      <c r="D53" s="45"/>
      <c r="E53" s="53"/>
      <c r="G53" s="63"/>
      <c r="H53" s="63"/>
      <c r="I53" s="63"/>
      <c r="J53" s="63"/>
      <c r="K53" s="63"/>
      <c r="L53" s="63"/>
      <c r="M53" s="63"/>
      <c r="N53" s="63"/>
      <c r="O53" s="63"/>
    </row>
    <row r="54" spans="1:15" s="62" customFormat="1" ht="15.75" x14ac:dyDescent="0.25">
      <c r="A54" s="27" t="s">
        <v>47</v>
      </c>
      <c r="B54" s="82">
        <v>0</v>
      </c>
      <c r="C54" s="6">
        <f>B54</f>
        <v>0</v>
      </c>
      <c r="D54" s="45"/>
      <c r="E54" s="53"/>
      <c r="G54" s="63"/>
      <c r="H54" s="63"/>
      <c r="I54" s="63"/>
      <c r="J54" s="63"/>
      <c r="K54" s="63"/>
      <c r="L54" s="63"/>
      <c r="M54" s="63"/>
      <c r="N54" s="63"/>
      <c r="O54" s="63"/>
    </row>
    <row r="55" spans="1:15" s="62" customFormat="1" ht="15.75" x14ac:dyDescent="0.25">
      <c r="A55" s="27" t="s">
        <v>49</v>
      </c>
      <c r="B55" s="82">
        <v>0</v>
      </c>
      <c r="C55" s="6">
        <f>B55</f>
        <v>0</v>
      </c>
      <c r="D55" s="45"/>
      <c r="E55" s="53"/>
      <c r="G55" s="63"/>
      <c r="H55" s="63"/>
      <c r="I55" s="63"/>
      <c r="J55" s="63"/>
      <c r="K55" s="63"/>
      <c r="L55" s="63"/>
      <c r="M55" s="63"/>
      <c r="N55" s="63"/>
      <c r="O55" s="63"/>
    </row>
    <row r="56" spans="1:15" s="62" customFormat="1" ht="15.75" x14ac:dyDescent="0.25">
      <c r="A56" s="27" t="s">
        <v>48</v>
      </c>
      <c r="B56" s="82">
        <v>0</v>
      </c>
      <c r="C56" s="6">
        <f>IF(B56&gt;125000,125000,B56)</f>
        <v>0</v>
      </c>
      <c r="D56" s="45"/>
      <c r="E56" s="53"/>
      <c r="G56" s="63"/>
      <c r="H56" s="63"/>
      <c r="I56" s="63"/>
      <c r="J56" s="63"/>
      <c r="K56" s="63"/>
      <c r="L56" s="63"/>
      <c r="M56" s="63"/>
      <c r="N56" s="63"/>
      <c r="O56" s="63"/>
    </row>
    <row r="57" spans="1:15" s="62" customFormat="1" ht="15.75" x14ac:dyDescent="0.25">
      <c r="A57" s="27" t="s">
        <v>74</v>
      </c>
      <c r="B57" s="86">
        <v>0</v>
      </c>
      <c r="C57" s="35">
        <f>IF(A8&gt;=60,IF(B57&gt;50000,50000,B57),IF(B57&gt;10000,10000,B57))</f>
        <v>0</v>
      </c>
      <c r="D57" s="45"/>
      <c r="E57" s="53"/>
      <c r="F57" s="53"/>
      <c r="G57" s="63"/>
      <c r="H57" s="63"/>
      <c r="I57" s="63"/>
      <c r="J57" s="63"/>
      <c r="K57" s="63"/>
      <c r="L57" s="63"/>
      <c r="M57" s="63"/>
      <c r="N57" s="63"/>
      <c r="O57" s="63"/>
    </row>
    <row r="58" spans="1:15" s="62" customFormat="1" ht="15.75" x14ac:dyDescent="0.25">
      <c r="A58" s="18" t="s">
        <v>20</v>
      </c>
      <c r="B58" s="80">
        <v>0</v>
      </c>
      <c r="C58" s="8">
        <f>IF(B58=0,0,MIN(B58,(10%*B14)))</f>
        <v>0</v>
      </c>
      <c r="D58" s="36">
        <f>-C58</f>
        <v>0</v>
      </c>
      <c r="E58" s="53"/>
      <c r="F58" s="53"/>
      <c r="G58" s="63"/>
      <c r="H58" s="63"/>
      <c r="I58" s="63"/>
      <c r="J58" s="63"/>
      <c r="K58" s="63"/>
      <c r="L58" s="63"/>
      <c r="M58" s="63"/>
      <c r="N58" s="63"/>
      <c r="O58" s="63"/>
    </row>
    <row r="59" spans="1:15" s="62" customFormat="1" ht="18.75" x14ac:dyDescent="0.3">
      <c r="A59" s="16" t="s">
        <v>21</v>
      </c>
      <c r="B59" s="49"/>
      <c r="C59" s="49"/>
      <c r="D59" s="36">
        <f>SUM(D33,D35,D47,D48,D58)</f>
        <v>0</v>
      </c>
      <c r="E59" s="53"/>
      <c r="F59" s="53"/>
      <c r="G59" s="63"/>
      <c r="H59" s="63"/>
      <c r="I59" s="63"/>
      <c r="J59" s="63"/>
      <c r="K59" s="63"/>
      <c r="L59" s="63"/>
      <c r="M59" s="63"/>
      <c r="N59" s="63"/>
      <c r="O59" s="63"/>
    </row>
    <row r="60" spans="1:15" s="62" customFormat="1" ht="15.75" x14ac:dyDescent="0.25">
      <c r="A60" s="28" t="s">
        <v>64</v>
      </c>
      <c r="B60" s="46"/>
      <c r="C60" s="38"/>
      <c r="D60" s="36">
        <f>rebate</f>
        <v>0</v>
      </c>
      <c r="E60" s="53"/>
      <c r="F60" s="53"/>
      <c r="G60" s="63"/>
      <c r="H60" s="63"/>
      <c r="I60" s="63"/>
      <c r="J60" s="63"/>
      <c r="K60" s="63"/>
      <c r="L60" s="63"/>
      <c r="M60" s="63"/>
      <c r="N60" s="63"/>
      <c r="O60" s="63"/>
    </row>
    <row r="61" spans="1:15" s="62" customFormat="1" ht="15.75" x14ac:dyDescent="0.25">
      <c r="A61" s="28" t="s">
        <v>58</v>
      </c>
      <c r="B61" s="46"/>
      <c r="C61" s="38"/>
      <c r="D61" s="50">
        <f>IF(D33=0,0,IF(D59&gt;500000,0,-old))</f>
        <v>0</v>
      </c>
      <c r="E61" s="53"/>
      <c r="G61" s="134" t="s">
        <v>53</v>
      </c>
      <c r="H61" s="64" t="s">
        <v>59</v>
      </c>
      <c r="I61" s="64">
        <f>IF((D59-D27)&lt;=250000,0,IF((D59-D27)&lt;=500000,(D59-250000-D27)*5%,IF((D59-D27)&lt;=1000000,(D59-500000-D27)*20%+12500,IF((D59-D27)&gt;1000000,(D59-1000000-D27)*30%+112500))))</f>
        <v>0</v>
      </c>
      <c r="J61" s="63"/>
      <c r="K61" s="63"/>
      <c r="L61" s="63"/>
      <c r="M61" s="63"/>
      <c r="N61" s="63"/>
      <c r="O61" s="63"/>
    </row>
    <row r="62" spans="1:15" s="62" customFormat="1" ht="18.75" x14ac:dyDescent="0.3">
      <c r="A62" s="19" t="s">
        <v>16</v>
      </c>
      <c r="B62" s="46"/>
      <c r="C62" s="38"/>
      <c r="D62" s="36">
        <f>SUM(D60:D61)</f>
        <v>0</v>
      </c>
      <c r="E62" s="53"/>
      <c r="G62" s="134"/>
      <c r="H62" s="64" t="s">
        <v>60</v>
      </c>
      <c r="I62" s="64">
        <f>IF((D59-D27)&lt;=300000,0,IF((D59-D27)&lt;=500000,(D59-300000-D27)*5%,IF((D59-D27)&lt;=1000000,(D59-500000-D27)*20%+10000,IF((D59-D27)&gt;1000000,(D59-1000000-D27)*30%+110000))))</f>
        <v>0</v>
      </c>
      <c r="J62" s="63"/>
      <c r="K62" s="63"/>
      <c r="L62" s="63"/>
      <c r="M62" s="63"/>
      <c r="N62" s="63"/>
      <c r="O62" s="63"/>
    </row>
    <row r="63" spans="1:15" s="62" customFormat="1" ht="50.25" customHeight="1" x14ac:dyDescent="0.25">
      <c r="A63" s="29" t="s">
        <v>70</v>
      </c>
      <c r="B63" s="46"/>
      <c r="C63" s="38"/>
      <c r="D63" s="36">
        <f>IF(D59&gt;=50000001,D62*0.37,IF(D59&gt;=20000001,D62*0.25,IF(D59&gt;=10000001,D62*0.15,IF(D59&gt;=5000001,D62*0.1,0))))</f>
        <v>0</v>
      </c>
      <c r="E63" s="53"/>
      <c r="G63" s="134"/>
      <c r="H63" s="64" t="s">
        <v>61</v>
      </c>
      <c r="I63" s="64">
        <f>IF((D59-D27)&lt;500000,0,IF((D59-D27)&lt;=1000000,(D59-500000-D27)*20%,IF((D59-D27)&gt;1000000,(D59-1000000-D27)*30%+100000)))</f>
        <v>0</v>
      </c>
      <c r="J63" s="63"/>
      <c r="K63" s="63"/>
      <c r="L63" s="63"/>
      <c r="M63" s="63"/>
      <c r="N63" s="63"/>
      <c r="O63" s="63"/>
    </row>
    <row r="64" spans="1:15" s="62" customFormat="1" ht="15.75" x14ac:dyDescent="0.25">
      <c r="A64" s="27" t="s">
        <v>54</v>
      </c>
      <c r="B64" s="46"/>
      <c r="C64" s="38"/>
      <c r="D64" s="36">
        <f>ROUND(SUM(D62:D63)*0.04,0)</f>
        <v>0</v>
      </c>
      <c r="E64" s="53"/>
      <c r="G64" s="134"/>
      <c r="H64" s="64" t="s">
        <v>62</v>
      </c>
      <c r="I64" s="64">
        <f>IF(A8&gt;80,I63+(D27*30%),IF(A8&gt;60,I62+(D27*30%),IF(A8&lt;=60,I61+(D27*30%))))</f>
        <v>0</v>
      </c>
      <c r="J64" s="63"/>
      <c r="K64" s="63"/>
      <c r="L64" s="63"/>
      <c r="M64" s="63"/>
      <c r="N64" s="63"/>
      <c r="O64" s="63"/>
    </row>
    <row r="65" spans="1:15" s="62" customFormat="1" ht="18.75" x14ac:dyDescent="0.3">
      <c r="A65" s="19" t="s">
        <v>15</v>
      </c>
      <c r="B65" s="46"/>
      <c r="C65" s="38"/>
      <c r="D65" s="36">
        <f>ROUND(SUM(D62:D64),0)</f>
        <v>0</v>
      </c>
      <c r="E65" s="53"/>
      <c r="G65" s="134"/>
      <c r="H65" s="64" t="s">
        <v>63</v>
      </c>
      <c r="I65" s="64">
        <f>MIN(IF(D59&gt;500000,0,I64),12500)</f>
        <v>0</v>
      </c>
      <c r="J65" s="63"/>
      <c r="K65" s="63"/>
      <c r="L65" s="63"/>
      <c r="M65" s="63"/>
      <c r="N65" s="63"/>
      <c r="O65" s="63"/>
    </row>
    <row r="66" spans="1:15" s="62" customFormat="1" ht="15.75" x14ac:dyDescent="0.25">
      <c r="A66" s="30" t="s">
        <v>52</v>
      </c>
      <c r="B66" s="46"/>
      <c r="C66" s="38"/>
      <c r="D66" s="87">
        <v>0</v>
      </c>
      <c r="E66" s="53"/>
      <c r="F66" s="63"/>
      <c r="G66" s="63"/>
      <c r="H66" s="63"/>
      <c r="I66" s="63"/>
      <c r="J66" s="63"/>
    </row>
    <row r="67" spans="1:15" s="62" customFormat="1" ht="18.75" x14ac:dyDescent="0.3">
      <c r="A67" s="19" t="s">
        <v>17</v>
      </c>
      <c r="B67" s="46"/>
      <c r="C67" s="38"/>
      <c r="D67" s="36">
        <f>D65-D66</f>
        <v>0</v>
      </c>
      <c r="E67" s="53"/>
      <c r="G67" s="53"/>
      <c r="H67" s="53"/>
      <c r="I67" s="53"/>
      <c r="J67" s="63"/>
      <c r="K67" s="63"/>
      <c r="L67" s="63"/>
      <c r="M67" s="63"/>
      <c r="N67" s="63"/>
      <c r="O67" s="63"/>
    </row>
    <row r="68" spans="1:15" s="62" customFormat="1" ht="19.5" thickBot="1" x14ac:dyDescent="0.35">
      <c r="A68" s="20" t="s">
        <v>22</v>
      </c>
      <c r="B68" s="4"/>
      <c r="C68" s="25"/>
      <c r="D68" s="9">
        <f>IF(D33&gt;0,D65/(D20+D21+D28+D27),0)</f>
        <v>0</v>
      </c>
      <c r="E68" s="53"/>
      <c r="G68" s="53"/>
      <c r="H68" s="53"/>
      <c r="I68" s="53"/>
      <c r="J68" s="63"/>
      <c r="K68" s="63"/>
      <c r="L68" s="63"/>
      <c r="M68" s="63"/>
      <c r="N68" s="63"/>
      <c r="O68" s="63"/>
    </row>
    <row r="69" spans="1:15" s="62" customFormat="1" ht="19.5" thickBot="1" x14ac:dyDescent="0.35">
      <c r="A69" s="66"/>
      <c r="B69" s="67"/>
      <c r="C69" s="67"/>
      <c r="D69" s="68"/>
      <c r="E69" s="53"/>
      <c r="G69" s="134" t="s">
        <v>55</v>
      </c>
      <c r="H69" s="64" t="s">
        <v>59</v>
      </c>
      <c r="I69" s="64">
        <f>IF((Comparison!B10-D27)&lt;250000,0,IF((Comparison!B10-D27)&lt;500000,(Comparison!B10-250000-D27)*5%,IF((Comparison!B10-D27)&lt;750000,(Comparison!B10-500000-D27)*10%+12500,IF((Comparison!B10-D27)&lt;1000000,(Comparison!B10-750000-D27)*15%+37500,IF((Comparison!B10-D27)&lt;1250000,(Comparison!B10-1000000-D27)*20%+75000,IF((Comparison!B10-D27)&lt;=1500000,(Comparison!B10-1250000-D27)*25%+125000,IF((Comparison!B10-D27)&gt;1500000,(Comparison!B10-1500000-D27)*30%+187500)))))))</f>
        <v>0</v>
      </c>
      <c r="J69" s="65"/>
      <c r="K69" s="63"/>
      <c r="L69" s="63"/>
      <c r="M69" s="63"/>
      <c r="N69" s="63"/>
      <c r="O69" s="63"/>
    </row>
    <row r="70" spans="1:15" s="62" customFormat="1" ht="28.5" customHeight="1" thickBot="1" x14ac:dyDescent="0.3">
      <c r="A70" s="139" t="s">
        <v>87</v>
      </c>
      <c r="B70" s="140"/>
      <c r="C70" s="140"/>
      <c r="D70" s="141"/>
      <c r="E70" s="53"/>
      <c r="G70" s="134"/>
      <c r="H70" s="64" t="s">
        <v>60</v>
      </c>
      <c r="I70" s="64">
        <f>IF((Comparison!B10-D27)&lt;250000,0,IF((Comparison!B10-D27)&lt;500000,(Comparison!B10-250000-D27)*5%,IF((Comparison!B10-D27)&lt;750000,(Comparison!B10-500000-D27)*10%+12500,IF((Comparison!B10-D27)&lt;1000000,(Comparison!B10-750000-D27)*15%+37500,IF((Comparison!B10-D27)&lt;1250000,(Comparison!B10-1000000-D27)*20%+75000,IF((Comparison!B10-D27)&lt;=1500000,(Comparison!B10-1250000-D27)*25%+125000,IF((Comparison!B10-D27)&gt;1500000,(Comparison!B10-1500000-D27)*30%+187500)))))))</f>
        <v>0</v>
      </c>
      <c r="J70" s="63"/>
      <c r="K70" s="63"/>
      <c r="L70" s="63"/>
      <c r="M70" s="63"/>
      <c r="N70" s="63"/>
      <c r="O70" s="63"/>
    </row>
    <row r="71" spans="1:15" s="62" customFormat="1" ht="15.75" thickBot="1" x14ac:dyDescent="0.3">
      <c r="A71" s="69"/>
      <c r="B71" s="67"/>
      <c r="C71" s="67"/>
      <c r="D71" s="53"/>
      <c r="E71" s="53"/>
      <c r="F71" s="53"/>
      <c r="G71" s="134"/>
      <c r="H71" s="64" t="s">
        <v>61</v>
      </c>
      <c r="I71" s="64">
        <f>IF((Comparison!B10-D27)&lt;250000,0,IF((Comparison!B10-D27)&lt;500000,(Comparison!B10-250000-D27)*5%,IF((Comparison!B10-D27)&lt;750000,(Comparison!B10-500000-D27)*10%+12500,IF((Comparison!B10-D27)&lt;1000000,(Comparison!B10-750000-D27)*15%+37500,IF((Comparison!B10-D27)&lt;1250000,(Comparison!B10-1000000-D27)*20%+75000,IF((Comparison!B10-D27)&lt;=1500000,(Comparison!B10-1250000-D27)*25%+125000,IF((Comparison!B10-D27)&gt;1500000,(Comparison!B10-1500000-D27)*30%+187500)))))))</f>
        <v>0</v>
      </c>
      <c r="J71" s="63"/>
      <c r="K71" s="63"/>
      <c r="L71" s="63"/>
      <c r="M71" s="63"/>
      <c r="N71" s="63"/>
      <c r="O71" s="63"/>
    </row>
    <row r="72" spans="1:15" s="62" customFormat="1" ht="34.5" customHeight="1" x14ac:dyDescent="0.25">
      <c r="A72" s="138" t="s">
        <v>86</v>
      </c>
      <c r="B72" s="108"/>
      <c r="C72" s="108"/>
      <c r="D72" s="109"/>
      <c r="E72" s="53"/>
      <c r="F72" s="53"/>
      <c r="G72" s="134"/>
      <c r="H72" s="64" t="s">
        <v>62</v>
      </c>
      <c r="I72" s="64">
        <f>IF(A8&gt;80,I71+(D27*30%),IF(A8&gt;60,I70+(D27*30%),IF(A8&lt;=60,I69+(D27*30%))))</f>
        <v>0</v>
      </c>
      <c r="J72" s="63"/>
      <c r="K72" s="63"/>
      <c r="L72" s="63"/>
      <c r="M72" s="63"/>
      <c r="N72" s="63"/>
      <c r="O72" s="63"/>
    </row>
    <row r="73" spans="1:15" s="62" customFormat="1" ht="15" x14ac:dyDescent="0.25">
      <c r="A73" s="110"/>
      <c r="B73" s="111"/>
      <c r="C73" s="111"/>
      <c r="D73" s="112"/>
      <c r="E73" s="53"/>
      <c r="F73" s="53"/>
      <c r="G73" s="134"/>
      <c r="H73" s="64" t="s">
        <v>63</v>
      </c>
      <c r="I73" s="64">
        <f>MIN(IF(D59&gt;500000,0,I72),12500)</f>
        <v>0</v>
      </c>
      <c r="J73" s="63"/>
      <c r="K73" s="63"/>
      <c r="L73" s="63"/>
      <c r="M73" s="63"/>
      <c r="N73" s="63"/>
      <c r="O73" s="63"/>
    </row>
    <row r="74" spans="1:15" s="62" customFormat="1" ht="15.75" thickBot="1" x14ac:dyDescent="0.3">
      <c r="A74" s="113"/>
      <c r="B74" s="114"/>
      <c r="C74" s="114"/>
      <c r="D74" s="115"/>
      <c r="E74" s="53"/>
      <c r="F74" s="53"/>
      <c r="G74" s="53"/>
      <c r="H74" s="53"/>
      <c r="I74" s="63"/>
      <c r="J74" s="63"/>
      <c r="K74" s="63"/>
      <c r="L74" s="63"/>
      <c r="M74" s="63"/>
      <c r="N74" s="63"/>
    </row>
    <row r="75" spans="1:15" s="62" customFormat="1" ht="15" x14ac:dyDescent="0.25">
      <c r="E75" s="53"/>
      <c r="F75" s="53"/>
      <c r="G75" s="53"/>
      <c r="H75" s="53"/>
      <c r="I75" s="53"/>
      <c r="J75" s="63"/>
      <c r="K75" s="63"/>
      <c r="L75" s="63"/>
      <c r="M75" s="63"/>
      <c r="N75" s="63"/>
      <c r="O75" s="63"/>
    </row>
  </sheetData>
  <sheetProtection algorithmName="SHA-512" hashValue="D00nffyjeCKe/bf/zt/Hp+HDCgKqd35wvuvjIbb1h46NUDR407k+2nX2GgQ7vcQJnBqjZDz84UcFENMgTLn9Yw==" saltValue="jZJcvbT5Yho4Mt7QlYM7bQ==" spinCount="100000" sheet="1" objects="1" scenarios="1"/>
  <mergeCells count="6">
    <mergeCell ref="G61:G65"/>
    <mergeCell ref="G69:G73"/>
    <mergeCell ref="A1:D1"/>
    <mergeCell ref="A72:D74"/>
    <mergeCell ref="A70:D70"/>
    <mergeCell ref="A2:D2"/>
  </mergeCells>
  <dataValidations count="9">
    <dataValidation type="list" allowBlank="1" showInputMessage="1" showErrorMessage="1" errorTitle="Data Validation Error" error="Please select a Value from the Dropdown only" sqref="B13">
      <formula1>"Metro,Non-Metro"</formula1>
    </dataValidation>
    <dataValidation type="date" allowBlank="1" showInputMessage="1" showErrorMessage="1" errorTitle="Date Validation Error" error="Please type date in DD-MM-YYYY format only" sqref="A7">
      <formula1>92</formula1>
      <formula2>TODAY()</formula2>
    </dataValidation>
    <dataValidation type="decimal" operator="greaterThanOrEqual" allowBlank="1" showInputMessage="1" showErrorMessage="1" errorTitle="Data Validation Error" error="Please enter a numeric value" sqref="B10 B29:B32 B35:B47 B14:B16 D66 B23:B27 B49:B57">
      <formula1>0</formula1>
    </dataValidation>
    <dataValidation type="decimal" operator="greaterThanOrEqual" allowBlank="1" showInputMessage="1" showErrorMessage="1" errorTitle="Data Validation error" error="Please enter a numeric value" sqref="B18:B19">
      <formula1>0</formula1>
    </dataValidation>
    <dataValidation type="textLength" operator="lessThanOrEqual" allowBlank="1" showInputMessage="1" showErrorMessage="1" sqref="A4">
      <formula1>200</formula1>
    </dataValidation>
    <dataValidation type="list" allowBlank="1" showInputMessage="1" showErrorMessage="1" errorTitle="Data Validation" error="Please select a Value from the Dropdown only" sqref="B17">
      <formula1>"Yes,No"</formula1>
    </dataValidation>
    <dataValidation type="custom" operator="greaterThanOrEqual" allowBlank="1" showInputMessage="1" showErrorMessage="1" errorTitle="Data Validation Error" error="Please first enter value in HRA Exemption : a. Basic Salary (Basic + DA)" sqref="B59">
      <formula1>IF(B15=0,IF(B15&gt;0," HRA Exemption : a. Basic Salary (Basic + DA)",B15))</formula1>
    </dataValidation>
    <dataValidation type="textLength" operator="equal" allowBlank="1" showInputMessage="1" showErrorMessage="1" errorTitle="Data Validation Error" error="Please enter Valid PAN_x000a_" sqref="A5">
      <formula1>10</formula1>
    </dataValidation>
    <dataValidation type="custom" operator="greaterThanOrEqual" allowBlank="1" showInputMessage="1" showErrorMessage="1" errorTitle="Data Validation Error" error="Please first enter value in HRA Exemption : a. Basic Salary (Basic + DA)" sqref="B58">
      <formula1>IF(B14=0,"HRA Exemption : a. Basic Salary (Basic + DA)",B14)</formula1>
    </dataValidation>
  </dataValidations>
  <pageMargins left="0.7" right="0.7" top="0.75" bottom="0.75" header="0.3" footer="0.3"/>
  <pageSetup scale="61" orientation="portrait" r:id="rId1"/>
  <ignoredErrors>
    <ignoredError sqref="C35 C21" formulaRange="1"/>
    <ignoredError sqref="C17" formula="1"/>
    <ignoredError sqref="C58" unlocked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28"/>
  <sheetViews>
    <sheetView showGridLines="0" zoomScaleNormal="100" zoomScaleSheetLayoutView="100" workbookViewId="0">
      <selection sqref="A1:A2"/>
    </sheetView>
  </sheetViews>
  <sheetFormatPr defaultRowHeight="14.25" x14ac:dyDescent="0.2"/>
  <cols>
    <col min="1" max="1" width="88.75" style="53" bestFit="1" customWidth="1"/>
    <col min="2" max="2" width="20.75" style="53" customWidth="1"/>
    <col min="3" max="3" width="19.875" style="53" customWidth="1"/>
    <col min="4" max="4" width="12.375" style="53" bestFit="1" customWidth="1"/>
    <col min="5" max="16384" width="9" style="53"/>
  </cols>
  <sheetData>
    <row r="1" spans="1:4" ht="20.25" customHeight="1" x14ac:dyDescent="0.2">
      <c r="A1" s="145" t="s">
        <v>80</v>
      </c>
      <c r="B1" s="147" t="s">
        <v>69</v>
      </c>
      <c r="C1" s="148"/>
    </row>
    <row r="2" spans="1:4" ht="24.75" customHeight="1" thickBot="1" x14ac:dyDescent="0.25">
      <c r="A2" s="146"/>
      <c r="B2" s="149"/>
      <c r="C2" s="150"/>
    </row>
    <row r="3" spans="1:4" ht="21" thickBot="1" x14ac:dyDescent="0.25">
      <c r="A3" s="90" t="s">
        <v>31</v>
      </c>
      <c r="B3" s="91" t="s">
        <v>55</v>
      </c>
      <c r="C3" s="92" t="s">
        <v>53</v>
      </c>
    </row>
    <row r="4" spans="1:4" ht="18.75" x14ac:dyDescent="0.3">
      <c r="A4" s="93" t="s">
        <v>3</v>
      </c>
      <c r="B4" s="71">
        <f>SUM('Calculator - Old Tax Regime'!D10)</f>
        <v>0</v>
      </c>
      <c r="C4" s="72">
        <f>'Calculator - Old Tax Regime'!D20</f>
        <v>0</v>
      </c>
    </row>
    <row r="5" spans="1:4" ht="18.75" x14ac:dyDescent="0.3">
      <c r="A5" s="94" t="s">
        <v>51</v>
      </c>
      <c r="B5" s="73">
        <f>C5</f>
        <v>0</v>
      </c>
      <c r="C5" s="74">
        <f>'Calculator - Old Tax Regime'!D21</f>
        <v>0</v>
      </c>
    </row>
    <row r="6" spans="1:4" ht="18.75" x14ac:dyDescent="0.3">
      <c r="A6" s="94" t="s">
        <v>39</v>
      </c>
      <c r="B6" s="73">
        <f>'Calculator - Old Tax Regime'!C30+'Calculator - Old Tax Regime'!C32</f>
        <v>0</v>
      </c>
      <c r="C6" s="74">
        <f>'Calculator - Old Tax Regime'!D28</f>
        <v>0</v>
      </c>
    </row>
    <row r="7" spans="1:4" ht="18.75" x14ac:dyDescent="0.3">
      <c r="A7" s="94" t="s">
        <v>75</v>
      </c>
      <c r="B7" s="73">
        <f>'Calculator - Old Tax Regime'!D27</f>
        <v>0</v>
      </c>
      <c r="C7" s="74">
        <f>B7</f>
        <v>0</v>
      </c>
    </row>
    <row r="8" spans="1:4" ht="18.75" x14ac:dyDescent="0.3">
      <c r="A8" s="95" t="s">
        <v>19</v>
      </c>
      <c r="B8" s="75">
        <f>-'Calculator - Old Tax Regime'!C58</f>
        <v>0</v>
      </c>
      <c r="C8" s="76">
        <f>B8</f>
        <v>0</v>
      </c>
    </row>
    <row r="9" spans="1:4" ht="18.75" x14ac:dyDescent="0.3">
      <c r="A9" s="95" t="s">
        <v>30</v>
      </c>
      <c r="B9" s="75">
        <v>0</v>
      </c>
      <c r="C9" s="76">
        <f>'Calculator - Old Tax Regime'!D35+'Calculator - Old Tax Regime'!D48+'Calculator - Old Tax Regime'!D47</f>
        <v>0</v>
      </c>
    </row>
    <row r="10" spans="1:4" ht="18.75" x14ac:dyDescent="0.3">
      <c r="A10" s="94" t="s">
        <v>21</v>
      </c>
      <c r="B10" s="77">
        <f>SUM(B4:B9)</f>
        <v>0</v>
      </c>
      <c r="C10" s="76">
        <f>SUM(C4:C9)</f>
        <v>0</v>
      </c>
      <c r="D10" s="54"/>
    </row>
    <row r="11" spans="1:4" ht="18.75" x14ac:dyDescent="0.3">
      <c r="A11" s="96" t="s">
        <v>64</v>
      </c>
      <c r="B11" s="10">
        <f>newrebate</f>
        <v>0</v>
      </c>
      <c r="C11" s="31">
        <f>'Calculator - Old Tax Regime'!D60</f>
        <v>0</v>
      </c>
    </row>
    <row r="12" spans="1:4" ht="18.75" x14ac:dyDescent="0.3">
      <c r="A12" s="97" t="s">
        <v>58</v>
      </c>
      <c r="B12" s="51">
        <f>IF((B4+B5+B6+B7)=0,0,IF(B10&gt;500000,0,-newtax))</f>
        <v>0</v>
      </c>
      <c r="C12" s="52">
        <f>'Calculator - Old Tax Regime'!D61</f>
        <v>0</v>
      </c>
      <c r="D12" s="54"/>
    </row>
    <row r="13" spans="1:4" ht="18.75" x14ac:dyDescent="0.3">
      <c r="A13" s="98" t="s">
        <v>16</v>
      </c>
      <c r="B13" s="10">
        <f>SUM(B11:B12)</f>
        <v>0</v>
      </c>
      <c r="C13" s="31">
        <f>'Calculator - Old Tax Regime'!D62</f>
        <v>0</v>
      </c>
      <c r="D13" s="54"/>
    </row>
    <row r="14" spans="1:4" ht="37.5" x14ac:dyDescent="0.2">
      <c r="A14" s="99" t="s">
        <v>92</v>
      </c>
      <c r="B14" s="11">
        <f>IF(B10&gt;=50000001,B13*0.37,IF(B10&gt;=20000001,B13*0.25,IF(B10&gt;=10000001,B13*0.15,IF(B10&gt;=5000001,B13*0.1,0))))</f>
        <v>0</v>
      </c>
      <c r="C14" s="48">
        <f>'Calculator - Old Tax Regime'!D63</f>
        <v>0</v>
      </c>
    </row>
    <row r="15" spans="1:4" ht="18.75" x14ac:dyDescent="0.3">
      <c r="A15" s="97" t="s">
        <v>56</v>
      </c>
      <c r="B15" s="11">
        <f>ROUND(SUM(B13:B14)*0.04,0)</f>
        <v>0</v>
      </c>
      <c r="C15" s="32">
        <f>'Calculator - Old Tax Regime'!D64</f>
        <v>0</v>
      </c>
    </row>
    <row r="16" spans="1:4" ht="18.75" x14ac:dyDescent="0.3">
      <c r="A16" s="98" t="s">
        <v>15</v>
      </c>
      <c r="B16" s="10">
        <f>ROUND(SUM(B13:B15),0)</f>
        <v>0</v>
      </c>
      <c r="C16" s="31">
        <f>'Calculator - Old Tax Regime'!D65</f>
        <v>0</v>
      </c>
    </row>
    <row r="17" spans="1:4" ht="18.75" x14ac:dyDescent="0.3">
      <c r="A17" s="97" t="s">
        <v>52</v>
      </c>
      <c r="B17" s="12">
        <f>'Calculator - Old Tax Regime'!D66</f>
        <v>0</v>
      </c>
      <c r="C17" s="32">
        <f>'Calculator - Old Tax Regime'!D66</f>
        <v>0</v>
      </c>
    </row>
    <row r="18" spans="1:4" ht="18.75" x14ac:dyDescent="0.3">
      <c r="A18" s="98" t="s">
        <v>17</v>
      </c>
      <c r="B18" s="10">
        <f>B16-B17</f>
        <v>0</v>
      </c>
      <c r="C18" s="31">
        <f>'Calculator - Old Tax Regime'!D67</f>
        <v>0</v>
      </c>
      <c r="D18" s="54"/>
    </row>
    <row r="19" spans="1:4" ht="19.5" thickBot="1" x14ac:dyDescent="0.35">
      <c r="A19" s="100" t="s">
        <v>22</v>
      </c>
      <c r="B19" s="33">
        <f>IF(B10&gt;0,(B16/(B4+B5+B6+B7)),0)</f>
        <v>0</v>
      </c>
      <c r="C19" s="34">
        <f>'Calculator - Old Tax Regime'!D68</f>
        <v>0</v>
      </c>
    </row>
    <row r="20" spans="1:4" ht="26.25" customHeight="1" thickBot="1" x14ac:dyDescent="0.25">
      <c r="A20" s="142" t="str">
        <f>IF((B4+B5+B6+C4+C5+C6)=0, "Tax Ninja's Suggestion will appear here", IF(VALUE(B13)=VALUE(C13), "Tax Ninja's Suggestion: You can choose either Old Tax Regime or New Tax Regime", IF(B16&gt;=C16, "Tax Ninja's Suggestion: Opt for Old Tax Regime as it will provide you benefit of Rs. " &amp; TEXT(B18-C18, "#,##0;[Red]₹#,##0"), "Tax Ninja's Suggestion: Opt for New Tax Regime as it will provide you benefit of Rs. " &amp; TEXT(C18-B18, "#,##0;[Red]₹#,##0") ) ) )</f>
        <v>Tax Ninja's Suggestion will appear here</v>
      </c>
      <c r="B20" s="143"/>
      <c r="C20" s="144"/>
    </row>
    <row r="21" spans="1:4" ht="19.5" thickBot="1" x14ac:dyDescent="0.35">
      <c r="A21" s="55"/>
      <c r="B21" s="56"/>
      <c r="C21" s="57"/>
    </row>
    <row r="22" spans="1:4" ht="17.25" thickBot="1" x14ac:dyDescent="0.3">
      <c r="A22" s="128" t="s">
        <v>84</v>
      </c>
      <c r="B22" s="129"/>
      <c r="C22" s="130"/>
    </row>
    <row r="23" spans="1:4" ht="19.5" thickBot="1" x14ac:dyDescent="0.35">
      <c r="A23" s="58"/>
      <c r="B23" s="59"/>
      <c r="C23" s="60"/>
    </row>
    <row r="24" spans="1:4" ht="27" customHeight="1" thickBot="1" x14ac:dyDescent="0.25">
      <c r="A24" s="131" t="s">
        <v>87</v>
      </c>
      <c r="B24" s="132"/>
      <c r="C24" s="133"/>
    </row>
    <row r="25" spans="1:4" ht="15" thickBot="1" x14ac:dyDescent="0.25"/>
    <row r="26" spans="1:4" ht="36" customHeight="1" x14ac:dyDescent="0.2">
      <c r="A26" s="138" t="s">
        <v>86</v>
      </c>
      <c r="B26" s="108"/>
      <c r="C26" s="109"/>
    </row>
    <row r="27" spans="1:4" x14ac:dyDescent="0.2">
      <c r="A27" s="110"/>
      <c r="B27" s="111"/>
      <c r="C27" s="112"/>
    </row>
    <row r="28" spans="1:4" ht="15" thickBot="1" x14ac:dyDescent="0.25">
      <c r="A28" s="113"/>
      <c r="B28" s="114"/>
      <c r="C28" s="115"/>
    </row>
  </sheetData>
  <sheetProtection algorithmName="SHA-512" hashValue="Jocz+AM8F0rOsruTFtERzfUvi01eA78MgGS442JfLlrBCURiy1YOElKx8IQR3IPp/+klLGsXF6cSrIvmqO6XsA==" saltValue="s+AVVXoQJpX/IFwk5UiFdg==" spinCount="100000" sheet="1" objects="1" scenarios="1"/>
  <mergeCells count="6">
    <mergeCell ref="A26:C28"/>
    <mergeCell ref="A24:C24"/>
    <mergeCell ref="A20:C20"/>
    <mergeCell ref="A22:C22"/>
    <mergeCell ref="A1:A2"/>
    <mergeCell ref="B1:C2"/>
  </mergeCells>
  <conditionalFormatting sqref="A4:C19">
    <cfRule type="expression" dxfId="0" priority="1" stopIfTrue="1">
      <formula>MOD(ROW(),2)=0</formula>
    </cfRule>
  </conditionalFormatting>
  <pageMargins left="0.70866141732283472" right="0.70866141732283472" top="0.74803149606299213" bottom="0.74803149606299213" header="0.31496062992125984" footer="0.31496062992125984"/>
  <pageSetup paperSize="9" scale="93" orientation="landscape" verticalDpi="0" r:id="rId1"/>
  <headerFooter>
    <oddHeader>&amp;C&amp;N</oddHeader>
  </headerFooter>
  <ignoredErrors>
    <ignoredError sqref="B17" unlockedFormula="1"/>
  </ignoredError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Instructions</vt:lpstr>
      <vt:lpstr>Calculator - Old Tax Regime</vt:lpstr>
      <vt:lpstr>Comparison</vt:lpstr>
      <vt:lpstr>newrebate</vt:lpstr>
      <vt:lpstr>newtax</vt:lpstr>
      <vt:lpstr>old</vt:lpstr>
      <vt:lpstr>'Calculator - Old Tax Regime'!Print_Area</vt:lpstr>
      <vt:lpstr>Comparison!Print_Area</vt:lpstr>
      <vt:lpstr>Instructions!Print_Area</vt:lpstr>
      <vt:lpstr>rebate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2023-06-12T13:04:15Z</cp:lastPrinted>
  <dcterms:created xsi:type="dcterms:W3CDTF">2020-04-05T16:41:59Z</dcterms:created>
  <dcterms:modified xsi:type="dcterms:W3CDTF">2023-06-12T13:15:47Z</dcterms:modified>
</cp:coreProperties>
</file>